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70" r:id="rId1"/>
    <sheet name="産業大分類" sheetId="5" r:id="rId2"/>
    <sheet name="産業中分類" sheetId="6" r:id="rId3"/>
    <sheet name="産業小分類" sheetId="7" r:id="rId4"/>
    <sheet name="神奈川県" sheetId="8" r:id="rId5"/>
    <sheet name="横浜市" sheetId="9" r:id="rId6"/>
    <sheet name="横浜市鶴見区" sheetId="10" r:id="rId7"/>
    <sheet name="横浜市神奈川区" sheetId="11" r:id="rId8"/>
    <sheet name="横浜市西区" sheetId="12" r:id="rId9"/>
    <sheet name="横浜市中区" sheetId="13" r:id="rId10"/>
    <sheet name="横浜市南区" sheetId="14" r:id="rId11"/>
    <sheet name="横浜市保土ケ谷区" sheetId="15" r:id="rId12"/>
    <sheet name="横浜市磯子区" sheetId="16" r:id="rId13"/>
    <sheet name="横浜市金沢区" sheetId="17" r:id="rId14"/>
    <sheet name="横浜市港北区" sheetId="18" r:id="rId15"/>
    <sheet name="横浜市戸塚区" sheetId="19" r:id="rId16"/>
    <sheet name="横浜市港南区" sheetId="20" r:id="rId17"/>
    <sheet name="横浜市旭区" sheetId="21" r:id="rId18"/>
    <sheet name="横浜市緑区" sheetId="22" r:id="rId19"/>
    <sheet name="横浜市瀬谷区" sheetId="23" r:id="rId20"/>
    <sheet name="横浜市栄区" sheetId="24" r:id="rId21"/>
    <sheet name="横浜市泉区" sheetId="25" r:id="rId22"/>
    <sheet name="横浜市青葉区" sheetId="26" r:id="rId23"/>
    <sheet name="横浜市都筑区" sheetId="27" r:id="rId24"/>
    <sheet name="川崎市" sheetId="28" r:id="rId25"/>
    <sheet name="川崎市川崎区" sheetId="29" r:id="rId26"/>
    <sheet name="川崎市幸区" sheetId="30" r:id="rId27"/>
    <sheet name="川崎市中原区" sheetId="31" r:id="rId28"/>
    <sheet name="川崎市高津区" sheetId="32" r:id="rId29"/>
    <sheet name="川崎市多摩区" sheetId="33" r:id="rId30"/>
    <sheet name="川崎市宮前区" sheetId="34" r:id="rId31"/>
    <sheet name="川崎市麻生区" sheetId="35" r:id="rId32"/>
    <sheet name="相模原市" sheetId="36" r:id="rId33"/>
    <sheet name="相模原市緑区" sheetId="37" r:id="rId34"/>
    <sheet name="相模原市中央区" sheetId="38" r:id="rId35"/>
    <sheet name="相模原市南区" sheetId="39" r:id="rId36"/>
    <sheet name="横須賀市" sheetId="40" r:id="rId37"/>
    <sheet name="平塚市" sheetId="41" r:id="rId38"/>
    <sheet name="鎌倉市" sheetId="42" r:id="rId39"/>
    <sheet name="藤沢市" sheetId="43" r:id="rId40"/>
    <sheet name="小田原市" sheetId="44" r:id="rId41"/>
    <sheet name="茅ヶ崎市" sheetId="45" r:id="rId42"/>
    <sheet name="逗子市" sheetId="46" r:id="rId43"/>
    <sheet name="三浦市" sheetId="47" r:id="rId44"/>
    <sheet name="秦野市" sheetId="48" r:id="rId45"/>
    <sheet name="厚木市" sheetId="49" r:id="rId46"/>
    <sheet name="大和市" sheetId="50" r:id="rId47"/>
    <sheet name="伊勢原市" sheetId="51" r:id="rId48"/>
    <sheet name="海老名市" sheetId="52" r:id="rId49"/>
    <sheet name="座間市" sheetId="53" r:id="rId50"/>
    <sheet name="南足柄市" sheetId="54" r:id="rId51"/>
    <sheet name="綾瀬市" sheetId="55" r:id="rId52"/>
    <sheet name="三浦郡葉山町" sheetId="56" r:id="rId53"/>
    <sheet name="高座郡寒川町" sheetId="57" r:id="rId54"/>
    <sheet name="中郡大磯町" sheetId="58" r:id="rId55"/>
    <sheet name="中郡二宮町" sheetId="59" r:id="rId56"/>
    <sheet name="足柄上郡中井町" sheetId="60" r:id="rId57"/>
    <sheet name="足柄上郡大井町" sheetId="61" r:id="rId58"/>
    <sheet name="足柄上郡松田町" sheetId="62" r:id="rId59"/>
    <sheet name="足柄上郡山北町" sheetId="63" r:id="rId60"/>
    <sheet name="足柄上郡開成町" sheetId="64" r:id="rId61"/>
    <sheet name="足柄下郡箱根町" sheetId="65" r:id="rId62"/>
    <sheet name="足柄下郡真鶴町" sheetId="66" r:id="rId63"/>
    <sheet name="足柄下郡湯河原町" sheetId="67" r:id="rId64"/>
    <sheet name="愛甲郡愛川町" sheetId="68" r:id="rId65"/>
    <sheet name="愛甲郡清川村" sheetId="69" r:id="rId6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23" r:id="rId67"/>
    <pivotCache cacheId="424" r:id="rId68"/>
    <pivotCache cacheId="425" r:id="rId6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9" l="1"/>
  <c r="I21" i="69" s="1"/>
  <c r="G20" i="69"/>
  <c r="G21" i="69" s="1"/>
  <c r="E20" i="69"/>
  <c r="E21" i="69" s="1"/>
  <c r="C20" i="69"/>
  <c r="I20" i="68"/>
  <c r="I21" i="68" s="1"/>
  <c r="G20" i="68"/>
  <c r="G21" i="68" s="1"/>
  <c r="E20" i="68"/>
  <c r="E21" i="68" s="1"/>
  <c r="C20" i="68"/>
  <c r="I20" i="67"/>
  <c r="I21" i="67" s="1"/>
  <c r="G20" i="67"/>
  <c r="G21" i="67" s="1"/>
  <c r="E20" i="67"/>
  <c r="E21" i="67" s="1"/>
  <c r="C20" i="67"/>
  <c r="I20" i="66"/>
  <c r="I21" i="66" s="1"/>
  <c r="G20" i="66"/>
  <c r="G21" i="66" s="1"/>
  <c r="E20" i="66"/>
  <c r="E21" i="66" s="1"/>
  <c r="C20" i="66"/>
  <c r="I20" i="65"/>
  <c r="G20" i="65"/>
  <c r="G21" i="65" s="1"/>
  <c r="E20" i="65"/>
  <c r="C20" i="65"/>
  <c r="I20" i="64"/>
  <c r="I21" i="64" s="1"/>
  <c r="G20" i="64"/>
  <c r="G21" i="64" s="1"/>
  <c r="E20" i="64"/>
  <c r="E21" i="64" s="1"/>
  <c r="C20" i="64"/>
  <c r="I20" i="63"/>
  <c r="I21" i="63" s="1"/>
  <c r="G20" i="63"/>
  <c r="G21" i="63" s="1"/>
  <c r="E20" i="63"/>
  <c r="E21" i="63" s="1"/>
  <c r="C20" i="63"/>
  <c r="I20" i="62"/>
  <c r="G20" i="62"/>
  <c r="G21" i="62" s="1"/>
  <c r="E20" i="62"/>
  <c r="C20" i="62"/>
  <c r="I20" i="61"/>
  <c r="G20" i="61"/>
  <c r="G21" i="61" s="1"/>
  <c r="E20" i="61"/>
  <c r="C20" i="61"/>
  <c r="I20" i="60"/>
  <c r="I21" i="60" s="1"/>
  <c r="G20" i="60"/>
  <c r="G21" i="60" s="1"/>
  <c r="E20" i="60"/>
  <c r="E21" i="60" s="1"/>
  <c r="C20" i="60"/>
  <c r="I20" i="59"/>
  <c r="I21" i="59" s="1"/>
  <c r="G20" i="59"/>
  <c r="G21" i="59" s="1"/>
  <c r="E20" i="59"/>
  <c r="E21" i="59" s="1"/>
  <c r="C20" i="59"/>
  <c r="I20" i="58"/>
  <c r="I21" i="58" s="1"/>
  <c r="G20" i="58"/>
  <c r="G21" i="58" s="1"/>
  <c r="E20" i="58"/>
  <c r="E21" i="58" s="1"/>
  <c r="C20" i="58"/>
  <c r="I20" i="57"/>
  <c r="G20" i="57"/>
  <c r="G21" i="57" s="1"/>
  <c r="E20" i="57"/>
  <c r="C20" i="57"/>
  <c r="I21" i="57" s="1"/>
  <c r="I20" i="56"/>
  <c r="I21" i="56" s="1"/>
  <c r="G20" i="56"/>
  <c r="G21" i="56" s="1"/>
  <c r="E20" i="56"/>
  <c r="E21" i="56" s="1"/>
  <c r="C20" i="56"/>
  <c r="I20" i="55"/>
  <c r="G20" i="55"/>
  <c r="G21" i="55" s="1"/>
  <c r="E20" i="55"/>
  <c r="C20" i="55"/>
  <c r="I20" i="54"/>
  <c r="I21" i="54" s="1"/>
  <c r="G20" i="54"/>
  <c r="G21" i="54" s="1"/>
  <c r="E20" i="54"/>
  <c r="E21" i="54" s="1"/>
  <c r="C20" i="54"/>
  <c r="I20" i="53"/>
  <c r="I21" i="53" s="1"/>
  <c r="G20" i="53"/>
  <c r="G21" i="53" s="1"/>
  <c r="E20" i="53"/>
  <c r="E21" i="53" s="1"/>
  <c r="C20" i="53"/>
  <c r="I20" i="52"/>
  <c r="I21" i="52" s="1"/>
  <c r="G20" i="52"/>
  <c r="G21" i="52" s="1"/>
  <c r="E20" i="52"/>
  <c r="E21" i="52" s="1"/>
  <c r="C20" i="52"/>
  <c r="I20" i="51"/>
  <c r="G20" i="51"/>
  <c r="G21" i="51" s="1"/>
  <c r="E20" i="51"/>
  <c r="C20" i="51"/>
  <c r="I20" i="50"/>
  <c r="I21" i="50" s="1"/>
  <c r="G20" i="50"/>
  <c r="G21" i="50" s="1"/>
  <c r="E20" i="50"/>
  <c r="E21" i="50" s="1"/>
  <c r="C20" i="50"/>
  <c r="I20" i="49"/>
  <c r="I21" i="49" s="1"/>
  <c r="G20" i="49"/>
  <c r="G21" i="49" s="1"/>
  <c r="E20" i="49"/>
  <c r="E21" i="49" s="1"/>
  <c r="C20" i="49"/>
  <c r="I20" i="48"/>
  <c r="I21" i="48" s="1"/>
  <c r="G20" i="48"/>
  <c r="G21" i="48" s="1"/>
  <c r="E20" i="48"/>
  <c r="E21" i="48" s="1"/>
  <c r="C20" i="48"/>
  <c r="I20" i="47"/>
  <c r="I21" i="47" s="1"/>
  <c r="G20" i="47"/>
  <c r="G21" i="47" s="1"/>
  <c r="E20" i="47"/>
  <c r="E21" i="47" s="1"/>
  <c r="C20" i="47"/>
  <c r="I20" i="46"/>
  <c r="I21" i="46" s="1"/>
  <c r="G20" i="46"/>
  <c r="G21" i="46" s="1"/>
  <c r="E20" i="46"/>
  <c r="E21" i="46" s="1"/>
  <c r="C20" i="46"/>
  <c r="I20" i="45"/>
  <c r="I21" i="45" s="1"/>
  <c r="G20" i="45"/>
  <c r="G21" i="45" s="1"/>
  <c r="E20" i="45"/>
  <c r="E21" i="45" s="1"/>
  <c r="C20" i="45"/>
  <c r="I20" i="44"/>
  <c r="G20" i="44"/>
  <c r="G21" i="44" s="1"/>
  <c r="E20" i="44"/>
  <c r="C20" i="44"/>
  <c r="I20" i="43"/>
  <c r="G20" i="43"/>
  <c r="G21" i="43" s="1"/>
  <c r="E20" i="43"/>
  <c r="C20" i="43"/>
  <c r="I20" i="42"/>
  <c r="I21" i="42" s="1"/>
  <c r="G20" i="42"/>
  <c r="G21" i="42" s="1"/>
  <c r="E20" i="42"/>
  <c r="E21" i="42" s="1"/>
  <c r="C20" i="42"/>
  <c r="I20" i="41"/>
  <c r="I21" i="41" s="1"/>
  <c r="G20" i="41"/>
  <c r="G21" i="41" s="1"/>
  <c r="E20" i="41"/>
  <c r="E21" i="41" s="1"/>
  <c r="C20" i="41"/>
  <c r="I20" i="40"/>
  <c r="G20" i="40"/>
  <c r="G21" i="40" s="1"/>
  <c r="E20" i="40"/>
  <c r="C20" i="40"/>
  <c r="I20" i="39"/>
  <c r="I21" i="39" s="1"/>
  <c r="G20" i="39"/>
  <c r="G21" i="39" s="1"/>
  <c r="E20" i="39"/>
  <c r="E21" i="39" s="1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E21" i="37" s="1"/>
  <c r="C20" i="37"/>
  <c r="I20" i="36"/>
  <c r="I21" i="36" s="1"/>
  <c r="G20" i="36"/>
  <c r="G21" i="36" s="1"/>
  <c r="E20" i="36"/>
  <c r="E21" i="36" s="1"/>
  <c r="C20" i="36"/>
  <c r="I20" i="35"/>
  <c r="G20" i="35"/>
  <c r="G21" i="35" s="1"/>
  <c r="E20" i="35"/>
  <c r="C20" i="35"/>
  <c r="I20" i="34"/>
  <c r="I21" i="34" s="1"/>
  <c r="G20" i="34"/>
  <c r="G21" i="34" s="1"/>
  <c r="E20" i="34"/>
  <c r="E21" i="34" s="1"/>
  <c r="C20" i="34"/>
  <c r="I20" i="33"/>
  <c r="I21" i="33" s="1"/>
  <c r="G20" i="33"/>
  <c r="G21" i="33" s="1"/>
  <c r="E20" i="33"/>
  <c r="E21" i="33" s="1"/>
  <c r="C20" i="33"/>
  <c r="I20" i="32"/>
  <c r="I21" i="32" s="1"/>
  <c r="G20" i="32"/>
  <c r="G21" i="32" s="1"/>
  <c r="E20" i="32"/>
  <c r="E21" i="32" s="1"/>
  <c r="C20" i="32"/>
  <c r="I20" i="31"/>
  <c r="G20" i="31"/>
  <c r="G21" i="31" s="1"/>
  <c r="E20" i="3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G20" i="28"/>
  <c r="G21" i="28" s="1"/>
  <c r="E20" i="28"/>
  <c r="C20" i="28"/>
  <c r="I20" i="27"/>
  <c r="G20" i="27"/>
  <c r="G21" i="27" s="1"/>
  <c r="E20" i="27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G20" i="21"/>
  <c r="G21" i="21" s="1"/>
  <c r="E20" i="21"/>
  <c r="C20" i="21"/>
  <c r="I20" i="20"/>
  <c r="G20" i="20"/>
  <c r="E20" i="20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G20" i="17"/>
  <c r="G21" i="17" s="1"/>
  <c r="E20" i="17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G20" i="13"/>
  <c r="G21" i="13" s="1"/>
  <c r="E20" i="13"/>
  <c r="C20" i="13"/>
  <c r="I20" i="12"/>
  <c r="G20" i="12"/>
  <c r="G21" i="12" s="1"/>
  <c r="E20" i="12"/>
  <c r="C20" i="12"/>
  <c r="I20" i="11"/>
  <c r="G20" i="11"/>
  <c r="G21" i="11" s="1"/>
  <c r="E20" i="11"/>
  <c r="C20" i="11"/>
  <c r="I20" i="10"/>
  <c r="G20" i="10"/>
  <c r="G21" i="10" s="1"/>
  <c r="E20" i="10"/>
  <c r="C20" i="10"/>
  <c r="I20" i="9"/>
  <c r="G20" i="9"/>
  <c r="G21" i="9" s="1"/>
  <c r="E20" i="9"/>
  <c r="C20" i="9"/>
  <c r="I20" i="8"/>
  <c r="I21" i="8" s="1"/>
  <c r="G20" i="8"/>
  <c r="G21" i="8" s="1"/>
  <c r="E20" i="8"/>
  <c r="E21" i="8" s="1"/>
  <c r="C20" i="8"/>
  <c r="E21" i="65" l="1"/>
  <c r="I21" i="65"/>
  <c r="E21" i="62"/>
  <c r="I21" i="62"/>
  <c r="E21" i="61"/>
  <c r="I21" i="61"/>
  <c r="E21" i="57"/>
  <c r="E21" i="55"/>
  <c r="I21" i="55"/>
  <c r="E21" i="51"/>
  <c r="I21" i="51"/>
  <c r="I21" i="44"/>
  <c r="E21" i="44"/>
  <c r="E21" i="43"/>
  <c r="I21" i="43"/>
  <c r="E21" i="40"/>
  <c r="I21" i="40"/>
  <c r="E21" i="35"/>
  <c r="I21" i="35"/>
  <c r="E21" i="31"/>
  <c r="I21" i="31"/>
  <c r="E21" i="28"/>
  <c r="I21" i="28"/>
  <c r="E21" i="27"/>
  <c r="I21" i="27"/>
  <c r="E21" i="21"/>
  <c r="I21" i="21"/>
  <c r="E21" i="20"/>
  <c r="G21" i="20"/>
  <c r="I21" i="20"/>
  <c r="E21" i="17"/>
  <c r="I21" i="17"/>
  <c r="E21" i="13"/>
  <c r="I21" i="13"/>
  <c r="E21" i="12"/>
  <c r="I21" i="12"/>
  <c r="E21" i="11"/>
  <c r="I21" i="11"/>
  <c r="E21" i="10"/>
  <c r="I21" i="10"/>
  <c r="E21" i="9"/>
  <c r="I21" i="9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<sst xmlns="http://schemas.openxmlformats.org/spreadsheetml/2006/main" count="9920" uniqueCount="499">
  <si>
    <t>14000 神奈川県</t>
  </si>
  <si>
    <t>14100 横浜市</t>
  </si>
  <si>
    <t>14101 横浜市鶴見区</t>
  </si>
  <si>
    <t>14102 横浜市神奈川区</t>
  </si>
  <si>
    <t>14103 横浜市西区</t>
  </si>
  <si>
    <t>14104 横浜市中区</t>
  </si>
  <si>
    <t>14105 横浜市南区</t>
  </si>
  <si>
    <t>14106 横浜市保土ケ谷区</t>
  </si>
  <si>
    <t>14107 横浜市磯子区</t>
  </si>
  <si>
    <t>14108 横浜市金沢区</t>
  </si>
  <si>
    <t>14109 横浜市港北区</t>
  </si>
  <si>
    <t>14110 横浜市戸塚区</t>
  </si>
  <si>
    <t>14111 横浜市港南区</t>
  </si>
  <si>
    <t>14112 横浜市旭区</t>
  </si>
  <si>
    <t>14113 横浜市緑区</t>
  </si>
  <si>
    <t>14114 横浜市瀬谷区</t>
  </si>
  <si>
    <t>14115 横浜市栄区</t>
  </si>
  <si>
    <t>14116 横浜市泉区</t>
  </si>
  <si>
    <t>14117 横浜市青葉区</t>
  </si>
  <si>
    <t>14118 横浜市都筑区</t>
  </si>
  <si>
    <t>14130 川崎市</t>
  </si>
  <si>
    <t>14131 川崎市川崎区</t>
  </si>
  <si>
    <t>14132 川崎市幸区</t>
  </si>
  <si>
    <t>14133 川崎市中原区</t>
  </si>
  <si>
    <t>14134 川崎市高津区</t>
  </si>
  <si>
    <t>14135 川崎市多摩区</t>
  </si>
  <si>
    <t>14136 川崎市宮前区</t>
  </si>
  <si>
    <t>14137 川崎市麻生区</t>
  </si>
  <si>
    <t>14150 相模原市</t>
  </si>
  <si>
    <t>14151 相模原市緑区</t>
  </si>
  <si>
    <t>14152 相模原市中央区</t>
  </si>
  <si>
    <t>14153 相模原市南区</t>
  </si>
  <si>
    <t>14201 横須賀市</t>
  </si>
  <si>
    <t>14203 平塚市</t>
  </si>
  <si>
    <t>14204 鎌倉市</t>
  </si>
  <si>
    <t>14205 藤沢市</t>
  </si>
  <si>
    <t>14206 小田原市</t>
  </si>
  <si>
    <t>14207 茅ヶ崎市</t>
  </si>
  <si>
    <t>14208 逗子市</t>
  </si>
  <si>
    <t>14210 三浦市</t>
  </si>
  <si>
    <t>14211 秦野市</t>
  </si>
  <si>
    <t>14212 厚木市</t>
  </si>
  <si>
    <t>14213 大和市</t>
  </si>
  <si>
    <t>14214 伊勢原市</t>
  </si>
  <si>
    <t>14215 海老名市</t>
  </si>
  <si>
    <t>14216 座間市</t>
  </si>
  <si>
    <t>14217 南足柄市</t>
  </si>
  <si>
    <t>14218 綾瀬市</t>
  </si>
  <si>
    <t>14301 三浦郡葉山町</t>
  </si>
  <si>
    <t>14321 高座郡寒川町</t>
  </si>
  <si>
    <t>14341 中郡大磯町</t>
  </si>
  <si>
    <t>14342 中郡二宮町</t>
  </si>
  <si>
    <t>14361 足柄上郡中井町</t>
  </si>
  <si>
    <t>14362 足柄上郡大井町</t>
  </si>
  <si>
    <t>14363 足柄上郡松田町</t>
  </si>
  <si>
    <t>14364 足柄上郡山北町</t>
  </si>
  <si>
    <t>14366 足柄上郡開成町</t>
  </si>
  <si>
    <t>14382 足柄下郡箱根町</t>
  </si>
  <si>
    <t>14383 足柄下郡真鶴町</t>
  </si>
  <si>
    <t>14384 足柄下郡湯河原町</t>
  </si>
  <si>
    <t>14401 愛甲郡愛川町</t>
  </si>
  <si>
    <t>14402 愛甲郡清川村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</si>
  <si>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</si>
  <si>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</si>
  <si>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</si>
  <si>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</si>
  <si>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</si>
  <si>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</si>
  <si>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</si>
  <si>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</si>
  <si>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</si>
  <si>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</si>
  <si>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</si>
  <si>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</si>
  <si>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</si>
  <si>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</si>
  <si>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</si>
  <si>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</si>
  <si>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</si>
  <si>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</si>
  <si>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</si>
  <si>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</si>
  <si>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</si>
  <si>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</si>
  <si>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</si>
  <si>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</si>
  <si>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</si>
  <si>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</si>
  <si>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</si>
  <si>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26 生産用機械器具製造業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</si>
  <si>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</si>
  <si>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</si>
  <si>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</si>
  <si>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</si>
  <si>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</si>
  <si>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</si>
  <si>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</si>
  <si>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</si>
  <si>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</si>
  <si>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</si>
  <si>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</si>
  <si>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</si>
  <si>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</si>
  <si>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</si>
  <si>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92 その他の事業サービス業</t>
  </si>
  <si>
    <t>55 その他の卸売業</t>
  </si>
  <si>
    <t>53 建築材料，鉱物・金属材料等卸売業</t>
  </si>
  <si>
    <t>52 飲食料品卸売業</t>
  </si>
  <si>
    <t>85 社会保険・社会福祉・介護事業</t>
  </si>
  <si>
    <t>39 情報サービス業</t>
  </si>
  <si>
    <t>48 運輸に附帯するサービス業</t>
  </si>
  <si>
    <t>75 宿泊業</t>
  </si>
  <si>
    <t>15 印刷・同関連業</t>
  </si>
  <si>
    <t>90 機械等修理業（別掲を除く）</t>
  </si>
  <si>
    <t>43 道路旅客運送業</t>
  </si>
  <si>
    <t>67 保険業（保険媒介代理業，保険サービス業を含む）</t>
  </si>
  <si>
    <t>80 娯楽業</t>
  </si>
  <si>
    <t>89 自動車整備業</t>
  </si>
  <si>
    <t>61 無店舗小売業</t>
  </si>
  <si>
    <t>29 電気機械器具製造業</t>
  </si>
  <si>
    <t>31 輸送用機械器具製造業</t>
  </si>
  <si>
    <t>09 食料品製造業</t>
  </si>
  <si>
    <t>32 その他の製造業</t>
  </si>
  <si>
    <t>18 プラスチック製品製造業（別掲を除く）</t>
  </si>
  <si>
    <t>25 はん用機械器具製造業</t>
  </si>
  <si>
    <t>44 道路貨物運送業</t>
  </si>
  <si>
    <t>77 持ち帰り・配達飲食サービス業</t>
  </si>
  <si>
    <t>12 木材・木製品製造業（家具を除く）</t>
  </si>
  <si>
    <t>13 家具・装備品製造業</t>
  </si>
  <si>
    <t>70 物品賃貸業</t>
  </si>
  <si>
    <t>05 鉱業，採石業，砂利採取業</t>
  </si>
  <si>
    <t>21 窯業・土石製品製造業</t>
  </si>
  <si>
    <t>41 映像・音声・文字情報制作業</t>
  </si>
  <si>
    <t>11 繊維工業</t>
  </si>
  <si>
    <t>88 廃棄物処理業</t>
  </si>
  <si>
    <t>91 職業紹介・労働者派遣業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</si>
  <si>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</si>
  <si>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</si>
  <si>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</si>
  <si>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</si>
  <si>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</si>
  <si>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083 管工事業（さく井工事業を除く）</t>
  </si>
  <si>
    <t>573 婦人・子供服小売業</t>
  </si>
  <si>
    <t>589 その他の飲食料品小売業</t>
  </si>
  <si>
    <t>591 自動車小売業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</si>
  <si>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</si>
  <si>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</si>
  <si>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</si>
  <si>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</si>
  <si>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694 不動産管理業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</si>
  <si>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</si>
  <si>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</si>
  <si>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</si>
  <si>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</si>
  <si>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</si>
  <si>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</si>
  <si>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</si>
  <si>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</si>
  <si>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066 建築リフォーム工事業</t>
  </si>
  <si>
    <t>742 土木建築サービス業</t>
  </si>
  <si>
    <t>077 塗装工事業</t>
  </si>
  <si>
    <t>603 医薬品・化粧品小売業</t>
  </si>
  <si>
    <t>724 公認会計士事務所，税理士事務所</t>
  </si>
  <si>
    <t>833 歯科診療所</t>
  </si>
  <si>
    <t>391 ソフトウェア業</t>
  </si>
  <si>
    <t>579 その他の織物・衣服・身の回り品小売業</t>
  </si>
  <si>
    <t>586 菓子・パン小売業</t>
  </si>
  <si>
    <t>929 他に分類されない事業サービス業</t>
  </si>
  <si>
    <t>721 法律事務所，特許事務所</t>
  </si>
  <si>
    <t>729 その他の専門サービス業</t>
  </si>
  <si>
    <t>767 喫茶店</t>
  </si>
  <si>
    <t>078 床・内装工事業</t>
  </si>
  <si>
    <t>151 印刷業</t>
  </si>
  <si>
    <t>693 駐車場業</t>
  </si>
  <si>
    <t>065 木造建築工事業</t>
  </si>
  <si>
    <t>823 学習塾</t>
  </si>
  <si>
    <t>244 建設用・建築用金属製品製造業（製缶板金業を含む）</t>
  </si>
  <si>
    <t>269 その他の生産用機械・同部分品製造業</t>
  </si>
  <si>
    <t>079 その他の職別工事業</t>
  </si>
  <si>
    <t>071 大工工事業</t>
  </si>
  <si>
    <t>855 障害者福祉事業</t>
  </si>
  <si>
    <t>891 自動車整備業</t>
  </si>
  <si>
    <t>728 経営コンサルタント業，純粋持株会社</t>
  </si>
  <si>
    <t>761 食堂，レストラン（専門料理店を除く）</t>
  </si>
  <si>
    <t>432 一般乗用旅客自動車運送業</t>
  </si>
  <si>
    <t>602 じゅう器小売業</t>
  </si>
  <si>
    <t>521 農畜産物・水産物卸売業</t>
  </si>
  <si>
    <t>751 旅館，ホテル</t>
  </si>
  <si>
    <t>809 その他の娯楽業</t>
  </si>
  <si>
    <t>266 金属加工機械製造業</t>
  </si>
  <si>
    <t>311 自動車・同附属品製造業</t>
  </si>
  <si>
    <t>076 板金・金物工事業</t>
  </si>
  <si>
    <t>607 スポーツ用品・がん具・娯楽用品・楽器小売業</t>
  </si>
  <si>
    <t>531 建築材料卸売業</t>
  </si>
  <si>
    <t>582 野菜・果実小売業</t>
  </si>
  <si>
    <t>584 鮮魚小売業</t>
  </si>
  <si>
    <t>611 通信販売・訪問販売小売業</t>
  </si>
  <si>
    <t>183 工業用プラスチック製品製造業</t>
  </si>
  <si>
    <t>329 他に分類されない製造業</t>
  </si>
  <si>
    <t>922 建物サービス業</t>
  </si>
  <si>
    <t>772 配達飲食サービス業</t>
  </si>
  <si>
    <t>441 一般貨物自動車運送業</t>
  </si>
  <si>
    <t>581 各種食料品小売業</t>
  </si>
  <si>
    <t>585 酒小売業</t>
  </si>
  <si>
    <t>759 その他の宿泊業</t>
  </si>
  <si>
    <t>763 そば・うどん店</t>
  </si>
  <si>
    <t>054 採石業，砂・砂利・玉石採取業</t>
  </si>
  <si>
    <t>097 パン・菓子製造業</t>
  </si>
  <si>
    <t>218 骨材・石工品等製造業</t>
  </si>
  <si>
    <t>764 すし店</t>
  </si>
  <si>
    <t>111 製糸業，紡績業，化学繊維・ねん糸等製造業</t>
  </si>
  <si>
    <t>601 家具・建具・畳小売業</t>
  </si>
  <si>
    <t>836 医療に附帯するサービス業</t>
  </si>
  <si>
    <t>産業小分類</t>
  </si>
  <si>
    <t>14000　神奈川県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</si>
  <si>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</si>
  <si>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</si>
  <si>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</si>
  <si>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</si>
  <si>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</si>
  <si>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</si>
  <si>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</si>
  <si>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</si>
  <si>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</si>
  <si>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</si>
  <si>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</si>
  <si>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</si>
  <si>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</si>
  <si>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14100　横浜市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</si>
  <si>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</si>
  <si>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</si>
  <si>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</si>
  <si>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</si>
  <si>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14101　横浜市鶴見区</t>
  </si>
  <si>
    <t xml:space="preserve">   </t>
    <phoneticPr fontId="1"/>
  </si>
  <si>
    <t>産業中分類上位２０</t>
    <phoneticPr fontId="1"/>
  </si>
  <si>
    <t>14102　横浜市神奈川区</t>
  </si>
  <si>
    <t xml:space="preserve"> </t>
    <phoneticPr fontId="1"/>
  </si>
  <si>
    <t>14103　横浜市西区</t>
  </si>
  <si>
    <t>産業中分類上位２０</t>
    <phoneticPr fontId="1"/>
  </si>
  <si>
    <t>産業小分類上位２０</t>
    <phoneticPr fontId="1"/>
  </si>
  <si>
    <t>14104　横浜市中区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</si>
  <si>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</si>
  <si>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</si>
  <si>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</si>
  <si>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</si>
  <si>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14105　横浜市南区</t>
  </si>
  <si>
    <t xml:space="preserve"> </t>
    <phoneticPr fontId="1"/>
  </si>
  <si>
    <t>14106　横浜市保土ケ谷区</t>
  </si>
  <si>
    <t xml:space="preserve"> </t>
    <phoneticPr fontId="1"/>
  </si>
  <si>
    <t xml:space="preserve">  </t>
    <phoneticPr fontId="1"/>
  </si>
  <si>
    <t>14107　横浜市磯子区</t>
  </si>
  <si>
    <t xml:space="preserve">  </t>
    <phoneticPr fontId="1"/>
  </si>
  <si>
    <t>産業中分類上位２０</t>
    <phoneticPr fontId="1"/>
  </si>
  <si>
    <t>14108　横浜市金沢区</t>
  </si>
  <si>
    <t>産業小分類上位２０</t>
    <phoneticPr fontId="1"/>
  </si>
  <si>
    <t>14109　横浜市港北区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</si>
  <si>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</si>
  <si>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</si>
  <si>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</si>
  <si>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</si>
  <si>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14110　横浜市戸塚区</t>
  </si>
  <si>
    <t xml:space="preserve">  </t>
    <phoneticPr fontId="1"/>
  </si>
  <si>
    <t>14111　横浜市港南区</t>
  </si>
  <si>
    <t xml:space="preserve"> </t>
    <phoneticPr fontId="1"/>
  </si>
  <si>
    <t xml:space="preserve">   </t>
    <phoneticPr fontId="1"/>
  </si>
  <si>
    <t>産業中分類上位２０</t>
    <phoneticPr fontId="1"/>
  </si>
  <si>
    <t>14112　横浜市旭区</t>
  </si>
  <si>
    <t xml:space="preserve"> </t>
    <phoneticPr fontId="1"/>
  </si>
  <si>
    <t xml:space="preserve">  </t>
    <phoneticPr fontId="1"/>
  </si>
  <si>
    <t>産業中分類上位２０</t>
    <phoneticPr fontId="1"/>
  </si>
  <si>
    <t>14113　横浜市緑区</t>
  </si>
  <si>
    <t xml:space="preserve">   </t>
    <phoneticPr fontId="1"/>
  </si>
  <si>
    <t>産業中分類上位２０</t>
    <phoneticPr fontId="1"/>
  </si>
  <si>
    <t>14114　横浜市瀬谷区</t>
  </si>
  <si>
    <t xml:space="preserve"> </t>
    <phoneticPr fontId="1"/>
  </si>
  <si>
    <t xml:space="preserve">  </t>
    <phoneticPr fontId="1"/>
  </si>
  <si>
    <t xml:space="preserve">   </t>
    <phoneticPr fontId="1"/>
  </si>
  <si>
    <t>14115　横浜市栄区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</si>
  <si>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</si>
  <si>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</si>
  <si>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</si>
  <si>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</si>
  <si>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</si>
  <si>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14116　横浜市泉区</t>
  </si>
  <si>
    <t xml:space="preserve"> </t>
    <phoneticPr fontId="1"/>
  </si>
  <si>
    <t xml:space="preserve">   </t>
    <phoneticPr fontId="1"/>
  </si>
  <si>
    <t>産業小分類上位２０</t>
    <phoneticPr fontId="1"/>
  </si>
  <si>
    <t>14117　横浜市青葉区</t>
  </si>
  <si>
    <t xml:space="preserve"> </t>
    <phoneticPr fontId="1"/>
  </si>
  <si>
    <t xml:space="preserve">   </t>
    <phoneticPr fontId="1"/>
  </si>
  <si>
    <t>14118　横浜市都筑区</t>
  </si>
  <si>
    <t xml:space="preserve"> </t>
    <phoneticPr fontId="1"/>
  </si>
  <si>
    <t xml:space="preserve">  </t>
    <phoneticPr fontId="1"/>
  </si>
  <si>
    <t>産業中分類上位２０</t>
    <phoneticPr fontId="1"/>
  </si>
  <si>
    <t>14130　川崎市</t>
  </si>
  <si>
    <t xml:space="preserve"> </t>
    <phoneticPr fontId="1"/>
  </si>
  <si>
    <t xml:space="preserve">  </t>
    <phoneticPr fontId="1"/>
  </si>
  <si>
    <t xml:space="preserve">   </t>
    <phoneticPr fontId="1"/>
  </si>
  <si>
    <t>14131　川崎市川崎区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</si>
  <si>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</si>
  <si>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</si>
  <si>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</si>
  <si>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</si>
  <si>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14132　川崎市幸区</t>
  </si>
  <si>
    <t xml:space="preserve"> </t>
    <phoneticPr fontId="1"/>
  </si>
  <si>
    <t xml:space="preserve">   </t>
    <phoneticPr fontId="1"/>
  </si>
  <si>
    <t>産業中分類上位２０</t>
    <phoneticPr fontId="1"/>
  </si>
  <si>
    <t>14133　川崎市中原区</t>
  </si>
  <si>
    <t>14134　川崎市高津区</t>
  </si>
  <si>
    <t xml:space="preserve"> </t>
    <phoneticPr fontId="1"/>
  </si>
  <si>
    <t xml:space="preserve">  </t>
    <phoneticPr fontId="1"/>
  </si>
  <si>
    <t>14135　川崎市多摩区</t>
  </si>
  <si>
    <t xml:space="preserve">  </t>
    <phoneticPr fontId="1"/>
  </si>
  <si>
    <t>産業中分類上位２０</t>
    <phoneticPr fontId="1"/>
  </si>
  <si>
    <t>産業小分類上位２０</t>
    <phoneticPr fontId="1"/>
  </si>
  <si>
    <t>14136　川崎市宮前区</t>
  </si>
  <si>
    <t xml:space="preserve"> </t>
    <phoneticPr fontId="1"/>
  </si>
  <si>
    <t xml:space="preserve">   </t>
    <phoneticPr fontId="1"/>
  </si>
  <si>
    <t>14137　川崎市麻生区</t>
  </si>
  <si>
    <t xml:space="preserve">  </t>
    <phoneticPr fontId="1"/>
  </si>
  <si>
    <t>産業中分類上位２０</t>
    <phoneticPr fontId="1"/>
  </si>
  <si>
    <t>14150　相模原市</t>
  </si>
  <si>
    <t xml:space="preserve"> </t>
    <phoneticPr fontId="1"/>
  </si>
  <si>
    <t xml:space="preserve">  </t>
    <phoneticPr fontId="1"/>
  </si>
  <si>
    <t xml:space="preserve">   </t>
    <phoneticPr fontId="1"/>
  </si>
  <si>
    <t>14151　相模原市緑区</t>
  </si>
  <si>
    <t xml:space="preserve"> </t>
    <phoneticPr fontId="1"/>
  </si>
  <si>
    <t xml:space="preserve">  </t>
    <phoneticPr fontId="1"/>
  </si>
  <si>
    <t>14152　相模原市中央区</t>
  </si>
  <si>
    <t xml:space="preserve"> </t>
    <phoneticPr fontId="1"/>
  </si>
  <si>
    <t xml:space="preserve">  </t>
    <phoneticPr fontId="1"/>
  </si>
  <si>
    <t xml:space="preserve">   </t>
    <phoneticPr fontId="1"/>
  </si>
  <si>
    <t>14153　相模原市南区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</si>
  <si>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</si>
  <si>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</si>
  <si>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</si>
  <si>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</si>
  <si>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14201　横須賀市</t>
  </si>
  <si>
    <t xml:space="preserve">  </t>
    <phoneticPr fontId="1"/>
  </si>
  <si>
    <t>14203　平塚市</t>
  </si>
  <si>
    <t xml:space="preserve"> </t>
    <phoneticPr fontId="1"/>
  </si>
  <si>
    <t xml:space="preserve">  </t>
    <phoneticPr fontId="1"/>
  </si>
  <si>
    <t>14204　鎌倉市</t>
  </si>
  <si>
    <t xml:space="preserve"> </t>
    <phoneticPr fontId="1"/>
  </si>
  <si>
    <t xml:space="preserve">  </t>
    <phoneticPr fontId="1"/>
  </si>
  <si>
    <t>産業中分類上位２０</t>
    <phoneticPr fontId="1"/>
  </si>
  <si>
    <t>14205　藤沢市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</si>
  <si>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</si>
  <si>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</si>
  <si>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</si>
  <si>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</si>
  <si>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14206　小田原市</t>
  </si>
  <si>
    <t xml:space="preserve">  </t>
    <phoneticPr fontId="1"/>
  </si>
  <si>
    <t xml:space="preserve">   </t>
    <phoneticPr fontId="1"/>
  </si>
  <si>
    <t>14207　茅ヶ崎市</t>
  </si>
  <si>
    <t xml:space="preserve">   </t>
    <phoneticPr fontId="1"/>
  </si>
  <si>
    <t>産業小分類上位２０</t>
    <phoneticPr fontId="1"/>
  </si>
  <si>
    <t>14208　逗子市</t>
  </si>
  <si>
    <t xml:space="preserve"> </t>
    <phoneticPr fontId="1"/>
  </si>
  <si>
    <t xml:space="preserve">   </t>
    <phoneticPr fontId="1"/>
  </si>
  <si>
    <t>14210　三浦市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</si>
  <si>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</si>
  <si>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</si>
  <si>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</si>
  <si>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</si>
  <si>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14211　秦野市</t>
  </si>
  <si>
    <t xml:space="preserve">  </t>
    <phoneticPr fontId="1"/>
  </si>
  <si>
    <t xml:space="preserve">   </t>
    <phoneticPr fontId="1"/>
  </si>
  <si>
    <t>産業中分類上位２０</t>
    <phoneticPr fontId="1"/>
  </si>
  <si>
    <t>14212　厚木市</t>
  </si>
  <si>
    <t xml:space="preserve"> </t>
    <phoneticPr fontId="1"/>
  </si>
  <si>
    <t xml:space="preserve">  </t>
    <phoneticPr fontId="1"/>
  </si>
  <si>
    <t>産業小分類上位２０</t>
    <phoneticPr fontId="1"/>
  </si>
  <si>
    <t>14213　大和市</t>
  </si>
  <si>
    <t xml:space="preserve">   </t>
    <phoneticPr fontId="1"/>
  </si>
  <si>
    <t>産業中分類上位２０</t>
    <phoneticPr fontId="1"/>
  </si>
  <si>
    <t>14214　伊勢原市</t>
  </si>
  <si>
    <t xml:space="preserve">  </t>
    <phoneticPr fontId="1"/>
  </si>
  <si>
    <t>14215　海老名市</t>
  </si>
  <si>
    <t xml:space="preserve">  </t>
    <phoneticPr fontId="1"/>
  </si>
  <si>
    <t>産業小分類上位２０</t>
    <phoneticPr fontId="1"/>
  </si>
  <si>
    <t>14216　座間市</t>
  </si>
  <si>
    <t xml:space="preserve"> </t>
    <phoneticPr fontId="1"/>
  </si>
  <si>
    <t xml:space="preserve">  </t>
    <phoneticPr fontId="1"/>
  </si>
  <si>
    <t>14217　南足柄市</t>
  </si>
  <si>
    <t xml:space="preserve"> </t>
    <phoneticPr fontId="1"/>
  </si>
  <si>
    <t xml:space="preserve">  </t>
    <phoneticPr fontId="1"/>
  </si>
  <si>
    <t xml:space="preserve">   </t>
    <phoneticPr fontId="1"/>
  </si>
  <si>
    <t>14218　綾瀬市</t>
  </si>
  <si>
    <t xml:space="preserve"> </t>
    <phoneticPr fontId="1"/>
  </si>
  <si>
    <t xml:space="preserve">   </t>
    <phoneticPr fontId="1"/>
  </si>
  <si>
    <t>14301　三浦郡葉山町</t>
  </si>
  <si>
    <t xml:space="preserve"> </t>
    <phoneticPr fontId="1"/>
  </si>
  <si>
    <t xml:space="preserve">  </t>
    <phoneticPr fontId="1"/>
  </si>
  <si>
    <t xml:space="preserve">   </t>
    <phoneticPr fontId="1"/>
  </si>
  <si>
    <t>14321　高座郡寒川町</t>
  </si>
  <si>
    <t xml:space="preserve"> </t>
    <phoneticPr fontId="1"/>
  </si>
  <si>
    <t>14341　中郡大磯町</t>
  </si>
  <si>
    <t xml:space="preserve"> </t>
    <phoneticPr fontId="1"/>
  </si>
  <si>
    <t xml:space="preserve">  </t>
    <phoneticPr fontId="1"/>
  </si>
  <si>
    <t xml:space="preserve">   </t>
    <phoneticPr fontId="1"/>
  </si>
  <si>
    <t>14342　中郡二宮町</t>
  </si>
  <si>
    <t xml:space="preserve"> </t>
    <phoneticPr fontId="1"/>
  </si>
  <si>
    <t xml:space="preserve">  </t>
    <phoneticPr fontId="1"/>
  </si>
  <si>
    <t>14361　足柄上郡中井町</t>
  </si>
  <si>
    <t xml:space="preserve">  </t>
    <phoneticPr fontId="1"/>
  </si>
  <si>
    <t>産業中分類上位２０</t>
    <phoneticPr fontId="1"/>
  </si>
  <si>
    <t>14362　足柄上郡大井町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</si>
  <si>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</si>
  <si>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</si>
  <si>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</si>
  <si>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</si>
  <si>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14363　足柄上郡松田町</t>
  </si>
  <si>
    <t xml:space="preserve"> </t>
    <phoneticPr fontId="1"/>
  </si>
  <si>
    <t xml:space="preserve">  </t>
    <phoneticPr fontId="1"/>
  </si>
  <si>
    <t>14364　足柄上郡山北町</t>
  </si>
  <si>
    <t xml:space="preserve">  </t>
    <phoneticPr fontId="1"/>
  </si>
  <si>
    <t>14366　足柄上郡開成町</t>
  </si>
  <si>
    <t xml:space="preserve"> </t>
    <phoneticPr fontId="1"/>
  </si>
  <si>
    <t>14382　足柄下郡箱根町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</si>
  <si>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</si>
  <si>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</si>
  <si>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</si>
  <si>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</si>
  <si>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</si>
  <si>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14383　足柄下郡真鶴町</t>
  </si>
  <si>
    <t xml:space="preserve"> </t>
    <phoneticPr fontId="1"/>
  </si>
  <si>
    <t xml:space="preserve">   </t>
    <phoneticPr fontId="1"/>
  </si>
  <si>
    <t>14384　足柄下郡湯河原町</t>
  </si>
  <si>
    <t>14401　愛甲郡愛川町</t>
  </si>
  <si>
    <t xml:space="preserve"> </t>
    <phoneticPr fontId="1"/>
  </si>
  <si>
    <t xml:space="preserve">  </t>
    <phoneticPr fontId="1"/>
  </si>
  <si>
    <t>14402　愛甲郡清川村</t>
  </si>
  <si>
    <t xml:space="preserve"> </t>
    <phoneticPr fontId="1"/>
  </si>
  <si>
    <t xml:space="preserve">  </t>
    <phoneticPr fontId="1"/>
  </si>
  <si>
    <t>神奈川県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</si>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</sst>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2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538798379632" createdVersion="5" refreshedVersion="5" minRefreshableVersion="3" recordCount="930">
  <cacheSource type="external" connectionId="1"/>
  <cacheFields count="18">
    <cacheField name="ti" numFmtId="0" sqlType="-8">
      <sharedItems/>
    </cacheField>
    <cacheField name="kencd" numFmtId="0" sqlType="-9">
      <sharedItems count="1">
        <s v="14"/>
      </sharedItems>
    </cacheField>
    <cacheField name="都道府県" numFmtId="0" sqlType="-9">
      <sharedItems count="1">
        <s v="14 神奈川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/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33662"/>
    </cacheField>
    <cacheField name="構成比" numFmtId="0" sqlType="3">
      <sharedItems containsSemiMixedTypes="0" containsString="0" containsNumber="1" minValue="0" maxValue="39.369999999999997"/>
    </cacheField>
    <cacheField name="総数（個人）" numFmtId="0" sqlType="3">
      <sharedItems containsSemiMixedTypes="0" containsString="0" containsNumber="1" containsInteger="1" minValue="0" maxValue="15092"/>
    </cacheField>
    <cacheField name="構成比（個人）" numFmtId="0" sqlType="3">
      <sharedItems containsSemiMixedTypes="0" containsString="0" containsNumber="1" minValue="0" maxValue="38.36"/>
    </cacheField>
    <cacheField name="総数（法人）" numFmtId="0" sqlType="3">
      <sharedItems containsSemiMixedTypes="0" containsString="0" containsNumber="1" containsInteger="1" minValue="0" maxValue="21198"/>
    </cacheField>
    <cacheField name="構成比（法人）" numFmtId="0" sqlType="3">
      <sharedItems containsSemiMixedTypes="0" containsString="0" containsNumber="1" minValue="0" maxValue="40.35"/>
    </cacheField>
    <cacheField name="総数（法人以外の団体）" numFmtId="0" sqlType="3">
      <sharedItems containsSemiMixedTypes="0" containsString="0" containsNumber="1" containsInteger="1" minValue="0" maxValue="43" count="20">
        <n v="0"/>
        <n v="4"/>
        <n v="3"/>
        <n v="12"/>
        <n v="5"/>
        <n v="24"/>
        <n v="32"/>
        <n v="7"/>
        <n v="13"/>
        <n v="9"/>
        <n v="18"/>
        <n v="43"/>
        <n v="39"/>
        <n v="2"/>
        <n v="1"/>
        <n v="6"/>
        <n v="8"/>
        <n v="19"/>
        <n v="26"/>
        <n v="16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538882175926" createdVersion="5" refreshedVersion="5" minRefreshableVersion="3" recordCount="1277">
  <cacheSource type="external" connectionId="2"/>
  <cacheFields count="19">
    <cacheField name="ti" numFmtId="0" sqlType="-8">
      <sharedItems count="62">
        <s v="ti.14000"/>
        <s v="ti.14100"/>
        <s v="ti.14101"/>
        <s v="ti.14102"/>
        <s v="ti.14103"/>
        <s v="ti.14104"/>
        <s v="ti.14105"/>
        <s v="ti.14106"/>
        <s v="ti.14107"/>
        <s v="ti.14108"/>
        <s v="ti.14109"/>
        <s v="ti.14110"/>
        <s v="ti.14111"/>
        <s v="ti.14112"/>
        <s v="ti.14113"/>
        <s v="ti.14114"/>
        <s v="ti.14115"/>
        <s v="ti.14116"/>
        <s v="ti.14117"/>
        <s v="ti.14118"/>
        <s v="ti.14130"/>
        <s v="ti.14131"/>
        <s v="ti.14132"/>
        <s v="ti.14133"/>
        <s v="ti.14134"/>
        <s v="ti.14135"/>
        <s v="ti.14136"/>
        <s v="ti.14137"/>
        <s v="ti.14150"/>
        <s v="ti.14151"/>
        <s v="ti.14152"/>
        <s v="ti.14153"/>
        <s v="ti.14201"/>
        <s v="ti.14203"/>
        <s v="ti.14204"/>
        <s v="ti.14205"/>
        <s v="ti.14206"/>
        <s v="ti.14207"/>
        <s v="ti.14208"/>
        <s v="ti.14210"/>
        <s v="ti.14211"/>
        <s v="ti.14212"/>
        <s v="ti.14213"/>
        <s v="ti.14214"/>
        <s v="ti.14215"/>
        <s v="ti.14216"/>
        <s v="ti.14217"/>
        <s v="ti.14218"/>
        <s v="ti.14301"/>
        <s v="ti.14321"/>
        <s v="ti.14341"/>
        <s v="ti.14342"/>
        <s v="ti.14361"/>
        <s v="ti.14362"/>
        <s v="ti.14363"/>
        <s v="ti.14364"/>
        <s v="ti.14366"/>
        <s v="ti.14382"/>
        <s v="ti.14383"/>
        <s v="ti.14384"/>
        <s v="ti.14401"/>
        <s v="ti.14402"/>
      </sharedItems>
    </cacheField>
    <cacheField name="kencd" numFmtId="0" sqlType="-9">
      <sharedItems count="1">
        <s v="14"/>
      </sharedItems>
    </cacheField>
    <cacheField name="都道府県" numFmtId="0" sqlType="-9">
      <sharedItems count="1">
        <s v="14 神奈川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62">
        <s v="神奈川県"/>
        <s v="横浜市"/>
        <s v="横浜市鶴見区"/>
        <s v="横浜市神奈川区"/>
        <s v="横浜市西区"/>
        <s v="横浜市中区"/>
        <s v="横浜市南区"/>
        <s v="横浜市保土ケ谷区"/>
        <s v="横浜市磯子区"/>
        <s v="横浜市金沢区"/>
        <s v="横浜市港北区"/>
        <s v="横浜市戸塚区"/>
        <s v="横浜市港南区"/>
        <s v="横浜市旭区"/>
        <s v="横浜市緑区"/>
        <s v="横浜市瀬谷区"/>
        <s v="横浜市栄区"/>
        <s v="横浜市泉区"/>
        <s v="横浜市青葉区"/>
        <s v="横浜市都筑区"/>
        <s v="川崎市"/>
        <s v="川崎市川崎区"/>
        <s v="川崎市幸区"/>
        <s v="川崎市中原区"/>
        <s v="川崎市高津区"/>
        <s v="川崎市多摩区"/>
        <s v="川崎市宮前区"/>
        <s v="川崎市麻生区"/>
        <s v="相模原市"/>
        <s v="相模原市緑区"/>
        <s v="相模原市中央区"/>
        <s v="相模原市南区"/>
        <s v="横須賀市"/>
        <s v="平塚市"/>
        <s v="鎌倉市"/>
        <s v="藤沢市"/>
        <s v="小田原市"/>
        <s v="茅ヶ崎市"/>
        <s v="逗子市"/>
        <s v="三浦市"/>
        <s v="秦野市"/>
        <s v="厚木市"/>
        <s v="大和市"/>
        <s v="伊勢原市"/>
        <s v="海老名市"/>
        <s v="座間市"/>
        <s v="南足柄市"/>
        <s v="綾瀬市"/>
        <s v="三浦郡葉山町"/>
        <s v="高座郡寒川町"/>
        <s v="中郡大磯町"/>
        <s v="中郡二宮町"/>
        <s v="足柄上郡中井町"/>
        <s v="足柄上郡大井町"/>
        <s v="足柄上郡松田町"/>
        <s v="足柄上郡山北町"/>
        <s v="足柄上郡開成町"/>
        <s v="足柄下郡箱根町"/>
        <s v="足柄下郡真鶴町"/>
        <s v="足柄下郡湯河原町"/>
        <s v="愛甲郡愛川町"/>
        <s v="愛甲郡清川村"/>
      </sharedItems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san" numFmtId="0" sqlType="-8">
      <sharedItems count="51">
        <s v="sanC1.0487"/>
        <s v="sanC1.0554"/>
        <s v="sanC1.0576"/>
        <s v="sanC1.0427"/>
        <s v="sanC1.0036"/>
        <s v="sanC1.0044"/>
        <s v="sanC1.0411"/>
        <s v="sanC1.0656"/>
        <s v="sanC1.0055"/>
        <s v="sanC1.0636"/>
        <s v="sanC1.0509"/>
        <s v="sanC1.0404"/>
        <s v="sanC1.0422"/>
        <s v="sanC1.0531"/>
        <s v="sanC1.0483"/>
        <s v="sanC1.0187"/>
        <s v="sanC1.0385"/>
        <s v="sanC1.0586"/>
        <s v="sanC1.0733"/>
        <s v="sanC1.0204"/>
        <s v="sanC1.0391"/>
        <s v="sanC1.0377"/>
        <s v="sanC1.0368"/>
        <s v="sanC1.0672"/>
        <s v="sanC1.0304"/>
        <s v="sanC1.0345"/>
        <s v="sanC1.0545"/>
        <s v="sanC1.0113"/>
        <s v="sanC1.0723"/>
        <s v="sanC1.0474"/>
        <s v="sanC1.0318"/>
        <s v="sanC1.0599"/>
        <s v="sanC1.0720"/>
        <s v="sanC1.0445"/>
        <s v="sanC1.0230"/>
        <s v="sanC1.0245"/>
        <s v="sanC1.0063"/>
        <s v="sanC1.0253"/>
        <s v="sanC1.0135"/>
        <s v="sanC1.0198"/>
        <s v="sanC1.0324"/>
        <s v="sanC1.0571"/>
        <s v="sanC1.0093"/>
        <s v="sanC1.0099"/>
        <s v="sanC1.0494"/>
        <s v="sanC1.0160"/>
        <s v="sanC1.0027"/>
        <s v="sanC1.0295"/>
        <s v="sanC1.0082"/>
        <s v="sanC1.0715"/>
        <s v="sanC1.0729"/>
      </sharedItems>
    </cacheField>
    <cacheField name="産業分類コード" numFmtId="0" sqlType="-9">
      <sharedItems count="51">
        <s v="69"/>
        <s v="76"/>
        <s v="78"/>
        <s v="60"/>
        <s v="06"/>
        <s v="07"/>
        <s v="58"/>
        <s v="83"/>
        <s v="08"/>
        <s v="82"/>
        <s v="72"/>
        <s v="57"/>
        <s v="59"/>
        <s v="74"/>
        <s v="68"/>
        <s v="24"/>
        <s v="54"/>
        <s v="79"/>
        <s v="92"/>
        <s v="26"/>
        <s v="55"/>
        <s v="53"/>
        <s v="52"/>
        <s v="85"/>
        <s v="39"/>
        <s v="48"/>
        <s v="75"/>
        <s v="15"/>
        <s v="90"/>
        <s v="67"/>
        <s v="43"/>
        <s v="80"/>
        <s v="89"/>
        <s v="61"/>
        <s v="29"/>
        <s v="31"/>
        <s v="09"/>
        <s v="32"/>
        <s v="18"/>
        <s v="25"/>
        <s v="44"/>
        <s v="77"/>
        <s v="12"/>
        <s v="13"/>
        <s v="70"/>
        <s v="21"/>
        <s v="05"/>
        <s v="41"/>
        <s v="11"/>
        <s v="88"/>
        <s v="91"/>
      </sharedItems>
    </cacheField>
    <cacheField name="産業分類" numFmtId="0" sqlType="-9">
      <sharedItems count="51">
        <s v="不動産賃貸業・管理業"/>
        <s v="飲食店"/>
        <s v="洗濯・理容・美容・浴場業"/>
        <s v="その他の小売業"/>
        <s v="総合工事業"/>
        <s v="職別工事業（設備工事業を除く）"/>
        <s v="飲食料品小売業"/>
        <s v="医療業"/>
        <s v="設備工事業"/>
        <s v="その他の教育，学習支援業"/>
        <s v="専門サービス業（他に分類されないもの）"/>
        <s v="織物・衣服・身の回り品小売業"/>
        <s v="機械器具小売業"/>
        <s v="技術サービス業（他に分類されないもの）"/>
        <s v="不動産取引業"/>
        <s v="金属製品製造業"/>
        <s v="機械器具卸売業"/>
        <s v="その他の生活関連サービス業"/>
        <s v="その他の事業サービス業"/>
        <s v="生産用機械器具製造業"/>
        <s v="その他の卸売業"/>
        <s v="建築材料，鉱物・金属材料等卸売業"/>
        <s v="飲食料品卸売業"/>
        <s v="社会保険・社会福祉・介護事業"/>
        <s v="情報サービス業"/>
        <s v="運輸に附帯するサービス業"/>
        <s v="宿泊業"/>
        <s v="印刷・同関連業"/>
        <s v="機械等修理業（別掲を除く）"/>
        <s v="保険業（保険媒介代理業，保険サービス業を含む）"/>
        <s v="道路旅客運送業"/>
        <s v="娯楽業"/>
        <s v="自動車整備業"/>
        <s v="無店舗小売業"/>
        <s v="電気機械器具製造業"/>
        <s v="輸送用機械器具製造業"/>
        <s v="食料品製造業"/>
        <s v="その他の製造業"/>
        <s v="プラスチック製品製造業（別掲を除く）"/>
        <s v="はん用機械器具製造業"/>
        <s v="道路貨物運送業"/>
        <s v="持ち帰り・配達飲食サービス業"/>
        <s v="木材・木製品製造業（家具を除く）"/>
        <s v="家具・装備品製造業"/>
        <s v="物品賃貸業"/>
        <s v="窯業・土石製品製造業"/>
        <s v="鉱業，採石業，砂利採取業"/>
        <s v="映像・音声・文字情報制作業"/>
        <s v="繊維工業"/>
        <s v="廃棄物処理業"/>
        <s v="職業紹介・労働者派遣業"/>
      </sharedItems>
    </cacheField>
    <cacheField name="産業中分類" numFmtId="0" sqlType="-9">
      <sharedItems count="51">
        <s v="69 不動産賃貸業・管理業"/>
        <s v="76 飲食店"/>
        <s v="78 洗濯・理容・美容・浴場業"/>
        <s v="60 その他の小売業"/>
        <s v="06 総合工事業"/>
        <s v="07 職別工事業（設備工事業を除く）"/>
        <s v="58 飲食料品小売業"/>
        <s v="83 医療業"/>
        <s v="08 設備工事業"/>
        <s v="82 その他の教育，学習支援業"/>
        <s v="72 専門サービス業（他に分類されないもの）"/>
        <s v="57 織物・衣服・身の回り品小売業"/>
        <s v="59 機械器具小売業"/>
        <s v="74 技術サービス業（他に分類されないもの）"/>
        <s v="68 不動産取引業"/>
        <s v="24 金属製品製造業"/>
        <s v="54 機械器具卸売業"/>
        <s v="79 その他の生活関連サービス業"/>
        <s v="92 その他の事業サービス業"/>
        <s v="26 生産用機械器具製造業"/>
        <s v="55 その他の卸売業"/>
        <s v="53 建築材料，鉱物・金属材料等卸売業"/>
        <s v="52 飲食料品卸売業"/>
        <s v="85 社会保険・社会福祉・介護事業"/>
        <s v="39 情報サービス業"/>
        <s v="48 運輸に附帯するサービス業"/>
        <s v="75 宿泊業"/>
        <s v="15 印刷・同関連業"/>
        <s v="90 機械等修理業（別掲を除く）"/>
        <s v="67 保険業（保険媒介代理業，保険サービス業を含む）"/>
        <s v="43 道路旅客運送業"/>
        <s v="80 娯楽業"/>
        <s v="89 自動車整備業"/>
        <s v="61 無店舗小売業"/>
        <s v="29 電気機械器具製造業"/>
        <s v="31 輸送用機械器具製造業"/>
        <s v="09 食料品製造業"/>
        <s v="32 その他の製造業"/>
        <s v="18 プラスチック製品製造業（別掲を除く）"/>
        <s v="25 はん用機械器具製造業"/>
        <s v="44 道路貨物運送業"/>
        <s v="77 持ち帰り・配達飲食サービス業"/>
        <s v="12 木材・木製品製造業（家具を除く）"/>
        <s v="13 家具・装備品製造業"/>
        <s v="70 物品賃貸業"/>
        <s v="21 窯業・土石製品製造業"/>
        <s v="05 鉱業，採石業，砂利採取業"/>
        <s v="41 映像・音声・文字情報制作業"/>
        <s v="11 繊維工業"/>
        <s v="88 廃棄物処理業"/>
        <s v="91 職業紹介・労働者派遣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18692" count="401">
        <n v="18692"/>
        <n v="17951"/>
        <n v="14988"/>
        <n v="9693"/>
        <n v="8760"/>
        <n v="7880"/>
        <n v="7289"/>
        <n v="6278"/>
        <n v="6162"/>
        <n v="6076"/>
        <n v="4726"/>
        <n v="4433"/>
        <n v="3806"/>
        <n v="3673"/>
        <n v="3336"/>
        <n v="2129"/>
        <n v="2107"/>
        <n v="1867"/>
        <n v="1820"/>
        <n v="1795"/>
        <n v="6479"/>
        <n v="6409"/>
        <n v="5422"/>
        <n v="3579"/>
        <n v="3104"/>
        <n v="2930"/>
        <n v="2578"/>
        <n v="2405"/>
        <n v="2394"/>
        <n v="2367"/>
        <n v="2275"/>
        <n v="1819"/>
        <n v="1553"/>
        <n v="1411"/>
        <n v="1325"/>
        <n v="1055"/>
        <n v="840"/>
        <n v="789"/>
        <n v="778"/>
        <n v="759"/>
        <n v="636"/>
        <n v="443"/>
        <n v="415"/>
        <n v="311"/>
        <n v="284"/>
        <n v="280"/>
        <n v="260"/>
        <n v="225"/>
        <n v="158"/>
        <n v="157"/>
        <n v="111"/>
        <n v="107"/>
        <n v="93"/>
        <n v="92"/>
        <n v="91"/>
        <n v="89"/>
        <n v="84"/>
        <n v="68"/>
        <n v="55"/>
        <n v="650"/>
        <n v="527"/>
        <n v="356"/>
        <n v="297"/>
        <n v="203"/>
        <n v="202"/>
        <n v="184"/>
        <n v="181"/>
        <n v="173"/>
        <n v="168"/>
        <n v="147"/>
        <n v="137"/>
        <n v="129"/>
        <n v="83"/>
        <n v="77"/>
        <n v="72"/>
        <n v="70"/>
        <n v="61"/>
        <n v="57"/>
        <n v="325"/>
        <n v="319"/>
        <n v="290"/>
        <n v="261"/>
        <n v="216"/>
        <n v="212"/>
        <n v="113"/>
        <n v="105"/>
        <n v="103"/>
        <n v="99"/>
        <n v="87"/>
        <n v="76"/>
        <n v="59"/>
        <n v="47"/>
        <n v="45"/>
        <n v="1322"/>
        <n v="625"/>
        <n v="476"/>
        <n v="406"/>
        <n v="317"/>
        <n v="242"/>
        <n v="229"/>
        <n v="226"/>
        <n v="183"/>
        <n v="159"/>
        <n v="142"/>
        <n v="136"/>
        <n v="126"/>
        <n v="104"/>
        <n v="79"/>
        <n v="493"/>
        <n v="371"/>
        <n v="365"/>
        <n v="233"/>
        <n v="200"/>
        <n v="185"/>
        <n v="150"/>
        <n v="130"/>
        <n v="128"/>
        <n v="86"/>
        <n v="82"/>
        <n v="80"/>
        <n v="75"/>
        <n v="56"/>
        <n v="53"/>
        <n v="42"/>
        <n v="318"/>
        <n v="308"/>
        <n v="295"/>
        <n v="191"/>
        <n v="164"/>
        <n v="155"/>
        <n v="98"/>
        <n v="78"/>
        <n v="69"/>
        <n v="67"/>
        <n v="46"/>
        <n v="36"/>
        <n v="34"/>
        <n v="27"/>
        <n v="285"/>
        <n v="259"/>
        <n v="237"/>
        <n v="132"/>
        <n v="120"/>
        <n v="117"/>
        <n v="64"/>
        <n v="43"/>
        <n v="35"/>
        <n v="30"/>
        <n v="24"/>
        <n v="333"/>
        <n v="287"/>
        <n v="205"/>
        <n v="131"/>
        <n v="124"/>
        <n v="123"/>
        <n v="88"/>
        <n v="74"/>
        <n v="44"/>
        <n v="39"/>
        <n v="937"/>
        <n v="485"/>
        <n v="459"/>
        <n v="312"/>
        <n v="207"/>
        <n v="194"/>
        <n v="190"/>
        <n v="170"/>
        <n v="148"/>
        <n v="139"/>
        <n v="138"/>
        <n v="71"/>
        <n v="337"/>
        <n v="250"/>
        <n v="249"/>
        <n v="223"/>
        <n v="174"/>
        <n v="151"/>
        <n v="116"/>
        <n v="109"/>
        <n v="85"/>
        <n v="66"/>
        <n v="51"/>
        <n v="40"/>
        <n v="482"/>
        <n v="354"/>
        <n v="304"/>
        <n v="209"/>
        <n v="171"/>
        <n v="166"/>
        <n v="133"/>
        <n v="102"/>
        <n v="81"/>
        <n v="41"/>
        <n v="33"/>
        <n v="296"/>
        <n v="263"/>
        <n v="234"/>
        <n v="215"/>
        <n v="154"/>
        <n v="121"/>
        <n v="52"/>
        <n v="186"/>
        <n v="175"/>
        <n v="161"/>
        <n v="108"/>
        <n v="106"/>
        <n v="49"/>
        <n v="38"/>
        <n v="22"/>
        <n v="195"/>
        <n v="176"/>
        <n v="156"/>
        <n v="112"/>
        <n v="96"/>
        <n v="50"/>
        <n v="31"/>
        <n v="23"/>
        <n v="20"/>
        <n v="97"/>
        <n v="62"/>
        <n v="58"/>
        <n v="54"/>
        <n v="25"/>
        <n v="18"/>
        <n v="17"/>
        <n v="14"/>
        <n v="210"/>
        <n v="135"/>
        <n v="26"/>
        <n v="381"/>
        <n v="367"/>
        <n v="266"/>
        <n v="221"/>
        <n v="219"/>
        <n v="146"/>
        <n v="143"/>
        <n v="48"/>
        <n v="299"/>
        <n v="251"/>
        <n v="140"/>
        <n v="60"/>
        <n v="2669"/>
        <n v="2529"/>
        <n v="2008"/>
        <n v="1275"/>
        <n v="1079"/>
        <n v="1031"/>
        <n v="988"/>
        <n v="948"/>
        <n v="871"/>
        <n v="692"/>
        <n v="563"/>
        <n v="537"/>
        <n v="502"/>
        <n v="450"/>
        <n v="436"/>
        <n v="282"/>
        <n v="241"/>
        <n v="785"/>
        <n v="557"/>
        <n v="432"/>
        <n v="323"/>
        <n v="291"/>
        <n v="273"/>
        <n v="230"/>
        <n v="145"/>
        <n v="141"/>
        <n v="125"/>
        <n v="95"/>
        <n v="94"/>
        <n v="275"/>
        <n v="272"/>
        <n v="90"/>
        <n v="29"/>
        <n v="592"/>
        <n v="374"/>
        <n v="369"/>
        <n v="193"/>
        <n v="101"/>
        <n v="481"/>
        <n v="329"/>
        <n v="277"/>
        <n v="160"/>
        <n v="373"/>
        <n v="309"/>
        <n v="73"/>
        <n v="274"/>
        <n v="179"/>
        <n v="127"/>
        <n v="28"/>
        <n v="65"/>
        <n v="63"/>
        <n v="32"/>
        <n v="1371"/>
        <n v="1298"/>
        <n v="1247"/>
        <n v="817"/>
        <n v="806"/>
        <n v="678"/>
        <n v="602"/>
        <n v="543"/>
        <n v="534"/>
        <n v="448"/>
        <n v="342"/>
        <n v="326"/>
        <n v="271"/>
        <n v="240"/>
        <n v="172"/>
        <n v="162"/>
        <n v="246"/>
        <n v="585"/>
        <n v="310"/>
        <n v="232"/>
        <n v="218"/>
        <n v="586"/>
        <n v="511"/>
        <n v="433"/>
        <n v="265"/>
        <n v="256"/>
        <n v="239"/>
        <n v="178"/>
        <n v="110"/>
        <n v="1159"/>
        <n v="906"/>
        <n v="675"/>
        <n v="579"/>
        <n v="454"/>
        <n v="453"/>
        <n v="426"/>
        <n v="301"/>
        <n v="198"/>
        <n v="165"/>
        <n v="684"/>
        <n v="677"/>
        <n v="331"/>
        <n v="316"/>
        <n v="264"/>
        <n v="217"/>
        <n v="633"/>
        <n v="538"/>
        <n v="400"/>
        <n v="305"/>
        <n v="293"/>
        <n v="188"/>
        <n v="163"/>
        <n v="37"/>
        <n v="845"/>
        <n v="774"/>
        <n v="724"/>
        <n v="503"/>
        <n v="397"/>
        <n v="360"/>
        <n v="357"/>
        <n v="303"/>
        <n v="289"/>
        <n v="248"/>
        <n v="201"/>
        <n v="525"/>
        <n v="473"/>
        <n v="345"/>
        <n v="531"/>
        <n v="421"/>
        <n v="220"/>
        <n v="100"/>
        <n v="118"/>
        <n v="16"/>
        <n v="13"/>
        <n v="19"/>
        <n v="15"/>
        <n v="11"/>
        <n v="267"/>
        <n v="177"/>
        <n v="917"/>
        <n v="444"/>
        <n v="391"/>
        <n v="270"/>
        <n v="208"/>
        <n v="606"/>
        <n v="551"/>
        <n v="408"/>
        <n v="169"/>
        <n v="206"/>
        <n v="21"/>
        <n v="353"/>
        <n v="238"/>
        <n v="119"/>
        <n v="204"/>
        <n v="8"/>
        <n v="7"/>
        <n v="6"/>
        <n v="376"/>
        <n v="115"/>
        <n v="10"/>
        <n v="9"/>
        <n v="122"/>
        <n v="12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64" maxValue="30.4" count="631">
        <n v="11.59"/>
        <n v="11.13"/>
        <n v="9.2899999999999991"/>
        <n v="6.01"/>
        <n v="5.43"/>
        <n v="4.8899999999999997"/>
        <n v="4.5199999999999996"/>
        <n v="3.89"/>
        <n v="3.82"/>
        <n v="3.77"/>
        <n v="2.93"/>
        <n v="2.75"/>
        <n v="2.36"/>
        <n v="2.2799999999999998"/>
        <n v="2.0699999999999998"/>
        <n v="1.32"/>
        <n v="1.31"/>
        <n v="1.1599999999999999"/>
        <n v="1.1299999999999999"/>
        <n v="1.1100000000000001"/>
        <n v="10.62"/>
        <n v="10.51"/>
        <n v="8.89"/>
        <n v="5.87"/>
        <n v="5.09"/>
        <n v="4.8"/>
        <n v="4.2300000000000004"/>
        <n v="3.94"/>
        <n v="3.93"/>
        <n v="3.88"/>
        <n v="3.73"/>
        <n v="2.98"/>
        <n v="2.5499999999999998"/>
        <n v="2.31"/>
        <n v="2.17"/>
        <n v="1.73"/>
        <n v="1.38"/>
        <n v="1.29"/>
        <n v="1.28"/>
        <n v="1.24"/>
        <n v="12.68"/>
        <n v="8.83"/>
        <n v="8.2799999999999994"/>
        <n v="6.2"/>
        <n v="5.66"/>
        <n v="5.58"/>
        <n v="5.18"/>
        <n v="4.49"/>
        <n v="3.15"/>
        <n v="3.13"/>
        <n v="2.21"/>
        <n v="2.13"/>
        <n v="1.85"/>
        <n v="1.83"/>
        <n v="1.81"/>
        <n v="1.77"/>
        <n v="1.67"/>
        <n v="1.36"/>
        <n v="1.1000000000000001"/>
        <n v="14.32"/>
        <n v="11.61"/>
        <n v="7.84"/>
        <n v="6.54"/>
        <n v="4.47"/>
        <n v="4.45"/>
        <n v="4.05"/>
        <n v="3.99"/>
        <n v="3.81"/>
        <n v="3.7"/>
        <n v="3.24"/>
        <n v="3.02"/>
        <n v="2.84"/>
        <n v="1.7"/>
        <n v="1.59"/>
        <n v="1.54"/>
        <n v="1.34"/>
        <n v="1.26"/>
        <n v="9.6999999999999993"/>
        <n v="9.52"/>
        <n v="8.65"/>
        <n v="7.79"/>
        <n v="6.44"/>
        <n v="6.32"/>
        <n v="5.16"/>
        <n v="3.37"/>
        <n v="3.07"/>
        <n v="2.95"/>
        <n v="2.77"/>
        <n v="2.6"/>
        <n v="2.48"/>
        <n v="2.27"/>
        <n v="1.82"/>
        <n v="1.76"/>
        <n v="1.4"/>
        <n v="18.649999999999999"/>
        <n v="8.9700000000000006"/>
        <n v="8.82"/>
        <n v="6.71"/>
        <n v="5.73"/>
        <n v="3.41"/>
        <n v="3.23"/>
        <n v="3.19"/>
        <n v="3.17"/>
        <n v="2.58"/>
        <n v="2.2400000000000002"/>
        <n v="2"/>
        <n v="1.92"/>
        <n v="1.78"/>
        <n v="1.47"/>
        <n v="1.23"/>
        <n v="14.17"/>
        <n v="10.66"/>
        <n v="10.49"/>
        <n v="6.7"/>
        <n v="5.75"/>
        <n v="5.32"/>
        <n v="4.3099999999999996"/>
        <n v="3.74"/>
        <n v="3.68"/>
        <n v="2.64"/>
        <n v="2.62"/>
        <n v="2.4700000000000002"/>
        <n v="2.2999999999999998"/>
        <n v="2.16"/>
        <n v="1.75"/>
        <n v="1.61"/>
        <n v="1.52"/>
        <n v="1.21"/>
        <n v="11.01"/>
        <n v="10.210000000000001"/>
        <n v="6.61"/>
        <n v="5.68"/>
        <n v="5.37"/>
        <n v="5.19"/>
        <n v="4.71"/>
        <n v="4.3600000000000003"/>
        <n v="3.39"/>
        <n v="2.7"/>
        <n v="2.39"/>
        <n v="2.35"/>
        <n v="2.3199999999999998"/>
        <n v="1.25"/>
        <n v="1.18"/>
        <n v="0.93"/>
        <n v="12.56"/>
        <n v="11.41"/>
        <n v="10.45"/>
        <n v="5.82"/>
        <n v="5.29"/>
        <n v="4.01"/>
        <n v="3.44"/>
        <n v="2.82"/>
        <n v="2.42"/>
        <n v="1.9"/>
        <n v="1.19"/>
        <n v="1.06"/>
        <n v="12.95"/>
        <n v="11.16"/>
        <n v="7.97"/>
        <n v="6.38"/>
        <n v="5.0999999999999996"/>
        <n v="4.82"/>
        <n v="4.78"/>
        <n v="3.42"/>
        <n v="2.88"/>
        <n v="2.61"/>
        <n v="1.71"/>
        <n v="15.62"/>
        <n v="8.09"/>
        <n v="7.65"/>
        <n v="5.2"/>
        <n v="4.03"/>
        <n v="3.95"/>
        <n v="3.45"/>
        <n v="2.83"/>
        <n v="2.5"/>
        <n v="11.17"/>
        <n v="8.2899999999999991"/>
        <n v="8.26"/>
        <n v="7.39"/>
        <n v="6.13"/>
        <n v="5.77"/>
        <n v="5.01"/>
        <n v="3.85"/>
        <n v="3.61"/>
        <n v="3.28"/>
        <n v="2.79"/>
        <n v="2.4500000000000002"/>
        <n v="2.19"/>
        <n v="1.69"/>
        <n v="1.53"/>
        <n v="1.33"/>
        <n v="14.95"/>
        <n v="10.98"/>
        <n v="9.43"/>
        <n v="6.48"/>
        <n v="5.3"/>
        <n v="5.27"/>
        <n v="5.15"/>
        <n v="4.25"/>
        <n v="4.13"/>
        <n v="3.16"/>
        <n v="2.54"/>
        <n v="2.5099999999999998"/>
        <n v="2.0499999999999998"/>
        <n v="1.27"/>
        <n v="1.1200000000000001"/>
        <n v="1.05"/>
        <n v="1.02"/>
        <n v="0.84"/>
        <n v="10.050000000000001"/>
        <n v="8.93"/>
        <n v="7.94"/>
        <n v="7.3"/>
        <n v="6.89"/>
        <n v="5.8"/>
        <n v="5.23"/>
        <n v="4.6500000000000004"/>
        <n v="4.41"/>
        <n v="4.1100000000000003"/>
        <n v="3.12"/>
        <n v="1.93"/>
        <n v="1.22"/>
        <n v="9.6"/>
        <n v="9.0299999999999994"/>
        <n v="8.31"/>
        <n v="6.25"/>
        <n v="5.47"/>
        <n v="5.1100000000000003"/>
        <n v="4.75"/>
        <n v="4.34"/>
        <n v="2.89"/>
        <n v="2.5299999999999998"/>
        <n v="1.96"/>
        <n v="1.55"/>
        <n v="1.39"/>
        <n v="1.1399999999999999"/>
        <n v="10.27"/>
        <n v="10.220000000000001"/>
        <n v="9.27"/>
        <n v="8.2100000000000009"/>
        <n v="6.95"/>
        <n v="5.9"/>
        <n v="5.0599999999999996"/>
        <n v="4.58"/>
        <n v="3.69"/>
        <n v="2.63"/>
        <n v="1.79"/>
        <n v="1.63"/>
        <n v="1.42"/>
        <n v="11.93"/>
        <n v="11.04"/>
        <n v="7.87"/>
        <n v="7.14"/>
        <n v="5.03"/>
        <n v="4.79"/>
        <n v="4.46"/>
        <n v="4.38"/>
        <n v="4.0599999999999996"/>
        <n v="3.65"/>
        <n v="2.52"/>
        <n v="2.0299999999999998"/>
        <n v="1.46"/>
        <n v="9.92"/>
        <n v="9.68"/>
        <n v="8.69"/>
        <n v="6.56"/>
        <n v="6.37"/>
        <n v="5.85"/>
        <n v="5.24"/>
        <n v="2.74"/>
        <n v="2.69"/>
        <n v="1.98"/>
        <n v="1.84"/>
        <n v="1.65"/>
        <n v="10.07"/>
        <n v="7.67"/>
        <n v="7.03"/>
        <n v="5.84"/>
        <n v="5.79"/>
        <n v="5.71"/>
        <n v="5.42"/>
        <n v="3.86"/>
        <n v="3.78"/>
        <n v="3.6"/>
        <n v="2.0099999999999998"/>
        <n v="1.51"/>
        <n v="1.37"/>
        <n v="8.23"/>
        <n v="6.91"/>
        <n v="6.19"/>
        <n v="5.59"/>
        <n v="4.84"/>
        <n v="4.29"/>
        <n v="3.83"/>
        <n v="3.3"/>
        <n v="3.08"/>
        <n v="3"/>
        <n v="2.56"/>
        <n v="11.89"/>
        <n v="11.26"/>
        <n v="8.94"/>
        <n v="4.8099999999999996"/>
        <n v="4.59"/>
        <n v="4.4000000000000004"/>
        <n v="4.22"/>
        <n v="2.15"/>
        <n v="1.94"/>
        <n v="1.07"/>
        <n v="14.14"/>
        <n v="10.029999999999999"/>
        <n v="7.78"/>
        <n v="5.74"/>
        <n v="4.92"/>
        <n v="4.1399999999999997"/>
        <n v="2.4900000000000002"/>
        <n v="2.25"/>
        <n v="12.71"/>
        <n v="10.37"/>
        <n v="10.26"/>
        <n v="6.18"/>
        <n v="4.26"/>
        <n v="2.41"/>
        <n v="2.2200000000000002"/>
        <n v="1.66"/>
        <n v="1.0900000000000001"/>
        <n v="15.16"/>
        <n v="9.58"/>
        <n v="9.4499999999999993"/>
        <n v="6.66"/>
        <n v="5.38"/>
        <n v="4.9400000000000004"/>
        <n v="3.64"/>
        <n v="3.38"/>
        <n v="3.2"/>
        <n v="3.18"/>
        <n v="2.59"/>
        <n v="2.2000000000000002"/>
        <n v="2.1"/>
        <n v="2.02"/>
        <n v="1.08"/>
        <n v="14.54"/>
        <n v="9.9499999999999993"/>
        <n v="8.3800000000000008"/>
        <n v="5.62"/>
        <n v="3.51"/>
        <n v="3.21"/>
        <n v="2.99"/>
        <n v="2.66"/>
        <n v="1.1499999999999999"/>
        <n v="13.06"/>
        <n v="10.82"/>
        <n v="10.33"/>
        <n v="5.39"/>
        <n v="4.7300000000000004"/>
        <n v="3.71"/>
        <n v="3.47"/>
        <n v="3.36"/>
        <n v="1.72"/>
        <n v="0.91"/>
        <n v="0.88"/>
        <n v="11.83"/>
        <n v="9.15"/>
        <n v="7.73"/>
        <n v="6.35"/>
        <n v="6.17"/>
        <n v="5.48"/>
        <n v="3.67"/>
        <n v="2.76"/>
        <n v="2.33"/>
        <n v="2.29"/>
        <n v="2.12"/>
        <n v="1.3"/>
        <n v="1.17"/>
        <n v="10.88"/>
        <n v="7.4"/>
        <n v="5.31"/>
        <n v="5.04"/>
        <n v="3.49"/>
        <n v="3.27"/>
        <n v="10.34"/>
        <n v="9.7899999999999991"/>
        <n v="9.41"/>
        <n v="6.16"/>
        <n v="6.08"/>
        <n v="5.12"/>
        <n v="4.54"/>
        <n v="4.0999999999999996"/>
        <n v="2.46"/>
        <n v="2.23"/>
        <n v="2.04"/>
        <n v="9.74"/>
        <n v="7.98"/>
        <n v="7.01"/>
        <n v="4.1900000000000004"/>
        <n v="3.76"/>
        <n v="2.14"/>
        <n v="2.11"/>
        <n v="1.88"/>
        <n v="1.2"/>
        <n v="11.55"/>
        <n v="10.72"/>
        <n v="6.3"/>
        <n v="6.12"/>
        <n v="6"/>
        <n v="4.3"/>
        <n v="2.8"/>
        <n v="2.67"/>
        <n v="1.48"/>
        <n v="12.53"/>
        <n v="10.92"/>
        <n v="9.26"/>
        <n v="5.56"/>
        <n v="4.68"/>
        <n v="4.17"/>
        <n v="1.43"/>
        <n v="0.92"/>
        <n v="14.89"/>
        <n v="11.64"/>
        <n v="8.67"/>
        <n v="7.44"/>
        <n v="5.83"/>
        <n v="4.6900000000000004"/>
        <n v="3.87"/>
        <n v="3.84"/>
        <n v="2.81"/>
        <n v="1.68"/>
        <n v="0.94"/>
        <n v="0.86"/>
        <n v="12.36"/>
        <n v="12.23"/>
        <n v="9.81"/>
        <n v="5.98"/>
        <n v="4.7699999999999996"/>
        <n v="3.92"/>
        <n v="3.58"/>
        <n v="3.32"/>
        <n v="2.87"/>
        <n v="14.64"/>
        <n v="12.44"/>
        <n v="9.25"/>
        <n v="7.51"/>
        <n v="7.05"/>
        <n v="6.77"/>
        <n v="4.3499999999999996"/>
        <n v="2.94"/>
        <n v="1.99"/>
        <n v="1.8"/>
        <n v="1.6"/>
        <n v="1.5"/>
        <n v="0.81"/>
        <n v="11.87"/>
        <n v="10.17"/>
        <n v="7.07"/>
        <n v="5.0199999999999996"/>
        <n v="11.88"/>
        <n v="10.71"/>
        <n v="7.81"/>
        <n v="7.63"/>
        <n v="6.27"/>
        <n v="3.53"/>
        <n v="3.4"/>
        <n v="2.92"/>
        <n v="2.9"/>
        <n v="1.56"/>
        <n v="13.36"/>
        <n v="12.4"/>
        <n v="10.59"/>
        <n v="5.53"/>
        <n v="4.63"/>
        <n v="3.29"/>
        <n v="1.41"/>
        <n v="0.83"/>
        <n v="12.35"/>
        <n v="11.29"/>
        <n v="10.41"/>
        <n v="5.91"/>
        <n v="4.8499999999999996"/>
        <n v="4.67"/>
        <n v="3.79"/>
        <n v="2.73"/>
        <n v="15.45"/>
        <n v="10.76"/>
        <n v="8.25"/>
        <n v="7.64"/>
        <n v="7.29"/>
        <n v="6.94"/>
        <n v="4.43"/>
        <n v="2.86"/>
        <n v="2.78"/>
        <n v="2.2599999999999998"/>
        <n v="0.95"/>
        <n v="11.03"/>
        <n v="10.38"/>
        <n v="9.7200000000000006"/>
        <n v="6.45"/>
        <n v="2.08"/>
        <n v="0.87"/>
        <n v="17.79"/>
        <n v="8.61"/>
        <n v="7.58"/>
        <n v="6.46"/>
        <n v="5.26"/>
        <n v="3.22"/>
        <n v="3.01"/>
        <n v="14.05"/>
        <n v="12.78"/>
        <n v="9.4600000000000009"/>
        <n v="3.62"/>
        <n v="2.71"/>
        <n v="2.1800000000000002"/>
        <n v="1.44"/>
        <n v="24.26"/>
        <n v="9.7799999999999994"/>
        <n v="5.13"/>
        <n v="3.04"/>
        <n v="1"/>
        <n v="14.98"/>
        <n v="10.1"/>
        <n v="9.76"/>
        <n v="5.94"/>
        <n v="3.31"/>
        <n v="2.72"/>
        <n v="1.57"/>
        <n v="15.23"/>
        <n v="11.24"/>
        <n v="10.89"/>
        <n v="5.89"/>
        <n v="4.55"/>
        <n v="3.55"/>
        <n v="21.63"/>
        <n v="10.18"/>
        <n v="9.86"/>
        <n v="8.48"/>
        <n v="6.04"/>
        <n v="5.51"/>
        <n v="0.85"/>
        <n v="0.74"/>
        <n v="0.64"/>
        <n v="20.58"/>
        <n v="7.12"/>
        <n v="6.29"/>
        <n v="4.93"/>
        <n v="8.81"/>
        <n v="8.32"/>
        <n v="7.5"/>
        <n v="6.53"/>
        <n v="4.24"/>
        <n v="3.59"/>
        <n v="3.26"/>
        <n v="3.1"/>
        <n v="14.45"/>
        <n v="7.82"/>
        <n v="7.55"/>
        <n v="6.09"/>
        <n v="4.6399999999999997"/>
        <n v="4.2699999999999996"/>
        <n v="4.09"/>
        <n v="3.91"/>
        <n v="3.09"/>
        <n v="2.91"/>
        <n v="2.09"/>
        <n v="26.34"/>
        <n v="6.55"/>
        <n v="6.03"/>
        <n v="4.9800000000000004"/>
        <n v="3.8"/>
        <n v="1.97"/>
        <n v="19.93"/>
        <n v="10.46"/>
        <n v="8.33"/>
        <n v="7.68"/>
        <n v="7.35"/>
        <n v="3.43"/>
        <n v="0.98"/>
        <n v="11.86"/>
        <n v="9.09"/>
        <n v="8.6999999999999993"/>
        <n v="5.14"/>
        <n v="4.74"/>
        <n v="3.56"/>
        <n v="2.37"/>
        <n v="1.58"/>
        <n v="23.52"/>
        <n v="8.5500000000000007"/>
        <n v="7.13"/>
        <n v="5.7"/>
        <n v="4.04"/>
        <n v="3.33"/>
        <n v="29.65"/>
        <n v="2.4300000000000002"/>
        <n v="1.62"/>
        <n v="1.35"/>
        <n v="10.56"/>
        <n v="8.4499999999999993"/>
        <n v="8.1"/>
        <n v="6.34"/>
        <n v="5.99"/>
        <n v="3.52"/>
        <n v="30.4"/>
        <n v="8.7899999999999991"/>
        <n v="4.51"/>
        <n v="2.85"/>
        <n v="2.38"/>
        <n v="0.71"/>
        <n v="20.47"/>
        <n v="17.32"/>
        <n v="8.01"/>
        <n v="7.74"/>
        <n v="4.2"/>
        <n v="0.79"/>
        <n v="13.02"/>
        <n v="9.3000000000000007"/>
        <n v="8.3699999999999992"/>
        <n v="6.98"/>
        <n v="1.86"/>
        <n v="15.94"/>
        <n v="9.3699999999999992"/>
        <n v="8.76"/>
        <n v="4.99"/>
        <n v="4.87"/>
        <n v="9.34"/>
        <n v="7.6"/>
        <n v="6.78"/>
        <n v="4.72"/>
        <n v="1.64"/>
        <n v="13.1"/>
        <n v="11.9"/>
        <n v="5.95"/>
        <n v="4.76"/>
        <n v="3.57"/>
      </sharedItems>
    </cacheField>
    <cacheField name="総数（個人）" numFmtId="0" sqlType="3">
      <sharedItems containsSemiMixedTypes="0" containsString="0" containsNumber="1" containsInteger="1" minValue="0" maxValue="14690" count="282">
        <n v="10446"/>
        <n v="14690"/>
        <n v="11571"/>
        <n v="4252"/>
        <n v="1453"/>
        <n v="2116"/>
        <n v="3972"/>
        <n v="5278"/>
        <n v="683"/>
        <n v="4168"/>
        <n v="2796"/>
        <n v="1692"/>
        <n v="1433"/>
        <n v="1083"/>
        <n v="257"/>
        <n v="411"/>
        <n v="117"/>
        <n v="711"/>
        <n v="150"/>
        <n v="283"/>
        <n v="2931"/>
        <n v="5026"/>
        <n v="4006"/>
        <n v="1444"/>
        <n v="379"/>
        <n v="577"/>
        <n v="1276"/>
        <n v="1981"/>
        <n v="200"/>
        <n v="1363"/>
        <n v="1450"/>
        <n v="559"/>
        <n v="381"/>
        <n v="93"/>
        <n v="435"/>
        <n v="32"/>
        <n v="54"/>
        <n v="129"/>
        <n v="101"/>
        <n v="240"/>
        <n v="535"/>
        <n v="350"/>
        <n v="163"/>
        <n v="162"/>
        <n v="17"/>
        <n v="66"/>
        <n v="152"/>
        <n v="132"/>
        <n v="113"/>
        <n v="16"/>
        <n v="50"/>
        <n v="45"/>
        <n v="63"/>
        <n v="21"/>
        <n v="6"/>
        <n v="15"/>
        <n v="1"/>
        <n v="7"/>
        <n v="417"/>
        <n v="427"/>
        <n v="267"/>
        <n v="141"/>
        <n v="36"/>
        <n v="14"/>
        <n v="104"/>
        <n v="146"/>
        <n v="27"/>
        <n v="95"/>
        <n v="84"/>
        <n v="31"/>
        <n v="42"/>
        <n v="4"/>
        <n v="30"/>
        <n v="165"/>
        <n v="214"/>
        <n v="19"/>
        <n v="126"/>
        <n v="143"/>
        <n v="56"/>
        <n v="3"/>
        <n v="49"/>
        <n v="25"/>
        <n v="10"/>
        <n v="11"/>
        <n v="0"/>
        <n v="976"/>
        <n v="467"/>
        <n v="230"/>
        <n v="288"/>
        <n v="85"/>
        <n v="189"/>
        <n v="83"/>
        <n v="47"/>
        <n v="12"/>
        <n v="13"/>
        <n v="28"/>
        <n v="70"/>
        <n v="9"/>
        <n v="401"/>
        <n v="297"/>
        <n v="215"/>
        <n v="120"/>
        <n v="98"/>
        <n v="22"/>
        <n v="107"/>
        <n v="46"/>
        <n v="34"/>
        <n v="38"/>
        <n v="18"/>
        <n v="262"/>
        <n v="199"/>
        <n v="241"/>
        <n v="109"/>
        <n v="76"/>
        <n v="44"/>
        <n v="24"/>
        <n v="8"/>
        <n v="234"/>
        <n v="110"/>
        <n v="170"/>
        <n v="64"/>
        <n v="57"/>
        <n v="77"/>
        <n v="61"/>
        <n v="20"/>
        <n v="2"/>
        <n v="5"/>
        <n v="206"/>
        <n v="160"/>
        <n v="67"/>
        <n v="106"/>
        <n v="72"/>
        <n v="35"/>
        <n v="468"/>
        <n v="380"/>
        <n v="326"/>
        <n v="196"/>
        <n v="26"/>
        <n v="41"/>
        <n v="105"/>
        <n v="252"/>
        <n v="204"/>
        <n v="23"/>
        <n v="33"/>
        <n v="53"/>
        <n v="55"/>
        <n v="282"/>
        <n v="265"/>
        <n v="250"/>
        <n v="71"/>
        <n v="112"/>
        <n v="118"/>
        <n v="58"/>
        <n v="228"/>
        <n v="80"/>
        <n v="87"/>
        <n v="102"/>
        <n v="130"/>
        <n v="133"/>
        <n v="29"/>
        <n v="40"/>
        <n v="43"/>
        <n v="52"/>
        <n v="62"/>
        <n v="65"/>
        <n v="115"/>
        <n v="39"/>
        <n v="111"/>
        <n v="81"/>
        <n v="73"/>
        <n v="247"/>
        <n v="155"/>
        <n v="174"/>
        <n v="51"/>
        <n v="153"/>
        <n v="114"/>
        <n v="74"/>
        <n v="90"/>
        <n v="2176"/>
        <n v="1159"/>
        <n v="1486"/>
        <n v="548"/>
        <n v="512"/>
        <n v="716"/>
        <n v="444"/>
        <n v="304"/>
        <n v="128"/>
        <n v="100"/>
        <n v="662"/>
        <n v="330"/>
        <n v="345"/>
        <n v="148"/>
        <n v="140"/>
        <n v="289"/>
        <n v="222"/>
        <n v="59"/>
        <n v="454"/>
        <n v="275"/>
        <n v="154"/>
        <n v="178"/>
        <n v="48"/>
        <n v="210"/>
        <n v="149"/>
        <n v="266"/>
        <n v="99"/>
        <n v="147"/>
        <n v="60"/>
        <n v="78"/>
        <n v="1115"/>
        <n v="1103"/>
        <n v="798"/>
        <n v="299"/>
        <n v="458"/>
        <n v="276"/>
        <n v="137"/>
        <n v="226"/>
        <n v="261"/>
        <n v="232"/>
        <n v="79"/>
        <n v="91"/>
        <n v="500"/>
        <n v="434"/>
        <n v="82"/>
        <n v="116"/>
        <n v="159"/>
        <n v="402"/>
        <n v="420"/>
        <n v="371"/>
        <n v="182"/>
        <n v="176"/>
        <n v="88"/>
        <n v="1018"/>
        <n v="718"/>
        <n v="443"/>
        <n v="318"/>
        <n v="103"/>
        <n v="572"/>
        <n v="442"/>
        <n v="144"/>
        <n v="157"/>
        <n v="151"/>
        <n v="164"/>
        <n v="513"/>
        <n v="308"/>
        <n v="208"/>
        <n v="242"/>
        <n v="166"/>
        <n v="145"/>
        <n v="428"/>
        <n v="553"/>
        <n v="213"/>
        <n v="317"/>
        <n v="197"/>
        <n v="447"/>
        <n v="68"/>
        <n v="125"/>
        <n v="422"/>
        <n v="343"/>
        <n v="123"/>
        <n v="171"/>
        <n v="135"/>
        <n v="37"/>
        <n v="239"/>
        <n v="575"/>
        <n v="359"/>
        <n v="294"/>
        <n v="89"/>
        <n v="138"/>
        <n v="364"/>
        <n v="475"/>
        <n v="303"/>
        <n v="425"/>
        <n v="198"/>
        <n v="185"/>
        <n v="75"/>
        <n v="220"/>
        <n v="181"/>
        <n v="184"/>
        <n v="92"/>
        <n v="309"/>
        <n v="108"/>
        <n v="94"/>
      </sharedItems>
    </cacheField>
    <cacheField name="構成比（個人）" numFmtId="0" sqlType="3">
      <sharedItems containsSemiMixedTypes="0" containsString="0" containsNumber="1" minValue="0" maxValue="36.840000000000003" count="649">
        <n v="14.28"/>
        <n v="20.07"/>
        <n v="15.81"/>
        <n v="5.81"/>
        <n v="1.99"/>
        <n v="2.89"/>
        <n v="5.43"/>
        <n v="7.21"/>
        <n v="0.93"/>
        <n v="5.7"/>
        <n v="3.82"/>
        <n v="2.31"/>
        <n v="1.96"/>
        <n v="1.48"/>
        <n v="0.35"/>
        <n v="0.56000000000000005"/>
        <n v="0.16"/>
        <n v="0.97"/>
        <n v="0.2"/>
        <n v="0.39"/>
        <n v="12.04"/>
        <n v="20.65"/>
        <n v="16.46"/>
        <n v="5.93"/>
        <n v="1.56"/>
        <n v="2.37"/>
        <n v="5.24"/>
        <n v="8.14"/>
        <n v="0.82"/>
        <n v="5.6"/>
        <n v="5.96"/>
        <n v="2.2999999999999998"/>
        <n v="1.57"/>
        <n v="0.38"/>
        <n v="1.79"/>
        <n v="0.13"/>
        <n v="0.22"/>
        <n v="0.53"/>
        <n v="0.41"/>
        <n v="0.99"/>
        <n v="25.27"/>
        <n v="16.53"/>
        <n v="7.7"/>
        <n v="7.65"/>
        <n v="0.8"/>
        <n v="3.12"/>
        <n v="7.18"/>
        <n v="1.51"/>
        <n v="6.24"/>
        <n v="5.34"/>
        <n v="0.76"/>
        <n v="2.36"/>
        <n v="2.13"/>
        <n v="2.98"/>
        <n v="0.28000000000000003"/>
        <n v="0.71"/>
        <n v="0.05"/>
        <n v="0.33"/>
        <n v="20.75"/>
        <n v="21.24"/>
        <n v="13.28"/>
        <n v="7.01"/>
        <n v="0.7"/>
        <n v="5.17"/>
        <n v="7.26"/>
        <n v="1.34"/>
        <n v="4.7300000000000004"/>
        <n v="4.18"/>
        <n v="1.54"/>
        <n v="2.09"/>
        <n v="1.49"/>
        <n v="0.3"/>
        <n v="15.05"/>
        <n v="19.53"/>
        <n v="1.73"/>
        <n v="6.02"/>
        <n v="11.5"/>
        <n v="13.05"/>
        <n v="5.1100000000000003"/>
        <n v="1.28"/>
        <n v="0.27"/>
        <n v="7.66"/>
        <n v="4.47"/>
        <n v="2.2799999999999998"/>
        <n v="0.91"/>
        <n v="0.09"/>
        <n v="1.46"/>
        <n v="0.55000000000000004"/>
        <n v="1"/>
        <n v="0"/>
        <n v="1.37"/>
        <n v="34.17"/>
        <n v="16.350000000000001"/>
        <n v="8.0500000000000007"/>
        <n v="5.71"/>
        <n v="10.08"/>
        <n v="6.62"/>
        <n v="2.91"/>
        <n v="1.65"/>
        <n v="0.42"/>
        <n v="0.46"/>
        <n v="0.98"/>
        <n v="0.25"/>
        <n v="0.04"/>
        <n v="2.4500000000000002"/>
        <n v="0.32"/>
        <n v="0.74"/>
        <n v="24"/>
        <n v="17.77"/>
        <n v="12.87"/>
        <n v="5.86"/>
        <n v="1.86"/>
        <n v="1.32"/>
        <n v="0.24"/>
        <n v="6.4"/>
        <n v="2.75"/>
        <n v="3.95"/>
        <n v="2.0299999999999998"/>
        <n v="0.72"/>
        <n v="2.27"/>
        <n v="1.08"/>
        <n v="1.02"/>
        <n v="0.36"/>
        <n v="19.11"/>
        <n v="14.51"/>
        <n v="17.579999999999998"/>
        <n v="7.95"/>
        <n v="5.54"/>
        <n v="1.39"/>
        <n v="2.2599999999999998"/>
        <n v="7.59"/>
        <n v="4.8099999999999996"/>
        <n v="0.28999999999999998"/>
        <n v="3.21"/>
        <n v="0.95"/>
        <n v="1.75"/>
        <n v="2.77"/>
        <n v="1.53"/>
        <n v="0.57999999999999996"/>
        <n v="7.0000000000000007E-2"/>
        <n v="23.95"/>
        <n v="11.26"/>
        <n v="17.399999999999999"/>
        <n v="6.55"/>
        <n v="1.84"/>
        <n v="5.83"/>
        <n v="0.92"/>
        <n v="7.88"/>
        <n v="2.87"/>
        <n v="2.25"/>
        <n v="2.0499999999999998"/>
        <n v="0.31"/>
        <n v="1.23"/>
        <n v="0.51"/>
        <n v="19.38"/>
        <n v="18.66"/>
        <n v="14.49"/>
        <n v="5.98"/>
        <n v="6.07"/>
        <n v="9.6"/>
        <n v="6.52"/>
        <n v="0.54"/>
        <n v="3.17"/>
        <n v="1.72"/>
        <n v="0.45"/>
        <n v="1.36"/>
        <n v="21"/>
        <n v="17.05"/>
        <n v="14.63"/>
        <n v="5.79"/>
        <n v="8.7899999999999991"/>
        <n v="1.17"/>
        <n v="1.97"/>
        <n v="4.26"/>
        <n v="3.77"/>
        <n v="0.67"/>
        <n v="4.71"/>
        <n v="0.49"/>
        <n v="22.78"/>
        <n v="18.440000000000001"/>
        <n v="4.43"/>
        <n v="2.08"/>
        <n v="4.79"/>
        <n v="1.27"/>
        <n v="9.1300000000000008"/>
        <n v="8.59"/>
        <n v="4.97"/>
        <n v="1.9"/>
        <n v="19.22"/>
        <n v="18.059999999999999"/>
        <n v="17.04"/>
        <n v="1.5"/>
        <n v="4.84"/>
        <n v="2.1800000000000002"/>
        <n v="7.63"/>
        <n v="8.0399999999999991"/>
        <n v="0.75"/>
        <n v="4.16"/>
        <n v="1.0900000000000001"/>
        <n v="1.77"/>
        <n v="0.89"/>
        <n v="18.399999999999999"/>
        <n v="18.559999999999999"/>
        <n v="10.17"/>
        <n v="3.07"/>
        <n v="1.05"/>
        <n v="5.08"/>
        <n v="6.46"/>
        <n v="7.02"/>
        <n v="8.23"/>
        <n v="3.31"/>
        <n v="2.66"/>
        <n v="0.08"/>
        <n v="1.45"/>
        <n v="18.57"/>
        <n v="19"/>
        <n v="4.1399999999999997"/>
        <n v="2.57"/>
        <n v="3"/>
        <n v="1.43"/>
        <n v="10.86"/>
        <n v="6.14"/>
        <n v="7.14"/>
        <n v="2.14"/>
        <n v="0.14000000000000001"/>
        <n v="2"/>
        <n v="0.43"/>
        <n v="0.56999999999999995"/>
        <n v="13.04"/>
        <n v="18.170000000000002"/>
        <n v="16.95"/>
        <n v="3.9"/>
        <n v="2.23"/>
        <n v="5.8"/>
        <n v="6.91"/>
        <n v="6.35"/>
        <n v="7.25"/>
        <n v="2.79"/>
        <n v="2.56"/>
        <n v="0.11"/>
        <n v="23.05"/>
        <n v="12.63"/>
        <n v="4.01"/>
        <n v="9.42"/>
        <n v="7.82"/>
        <n v="6.01"/>
        <n v="2.4"/>
        <n v="0.4"/>
        <n v="1.2"/>
        <n v="18.690000000000001"/>
        <n v="4.87"/>
        <n v="5.32"/>
        <n v="5.55"/>
        <n v="12.57"/>
        <n v="2.15"/>
        <n v="9.17"/>
        <n v="4.3"/>
        <n v="5.89"/>
        <n v="8.27"/>
        <n v="3.51"/>
        <n v="2.04"/>
        <n v="2.4900000000000002"/>
        <n v="0.34"/>
        <n v="0.68"/>
        <n v="19.71"/>
        <n v="1.52"/>
        <n v="16.28"/>
        <n v="12.37"/>
        <n v="13.89"/>
        <n v="5.59"/>
        <n v="4.07"/>
        <n v="4.2300000000000004"/>
        <n v="1.92"/>
        <n v="1.1200000000000001"/>
        <n v="1.85"/>
        <n v="17.670000000000002"/>
        <n v="2.42"/>
        <n v="13.16"/>
        <n v="8.5500000000000007"/>
        <n v="3.7"/>
        <n v="10.39"/>
        <n v="4.62"/>
        <n v="0.23"/>
        <n v="3.23"/>
        <n v="23.09"/>
        <n v="12.3"/>
        <n v="15.77"/>
        <n v="2.62"/>
        <n v="1.62"/>
        <n v="0.65"/>
        <n v="7.6"/>
        <n v="2.0099999999999998"/>
        <n v="0.5"/>
        <n v="1.06"/>
        <n v="0.1"/>
        <n v="0.18"/>
        <n v="28.33"/>
        <n v="14.12"/>
        <n v="14.76"/>
        <n v="6.33"/>
        <n v="5.99"/>
        <n v="1.41"/>
        <n v="5.13"/>
        <n v="0.9"/>
        <n v="0.47"/>
        <n v="0.77"/>
        <n v="2.65"/>
        <n v="0.6"/>
        <n v="23.06"/>
        <n v="17.72"/>
        <n v="11.41"/>
        <n v="2.71"/>
        <n v="6.15"/>
        <n v="0.88"/>
        <n v="3.59"/>
        <n v="2.39"/>
        <n v="0.48"/>
        <n v="0.96"/>
        <n v="0.64"/>
        <n v="1.68"/>
        <n v="25.49"/>
        <n v="15.44"/>
        <n v="8.65"/>
        <n v="9.99"/>
        <n v="5.84"/>
        <n v="1.01"/>
        <n v="5.05"/>
        <n v="0.84"/>
        <n v="2.7"/>
        <n v="3.48"/>
        <n v="1.29"/>
        <n v="1.63"/>
        <n v="1.18"/>
        <n v="0.73"/>
        <n v="0.06"/>
        <n v="0.17"/>
        <n v="16.690000000000001"/>
        <n v="20.83"/>
        <n v="15.02"/>
        <n v="3.97"/>
        <n v="4.37"/>
        <n v="7.15"/>
        <n v="0.79"/>
        <n v="4.05"/>
        <n v="4.29"/>
        <n v="1.83"/>
        <n v="1.59"/>
        <n v="11.42"/>
        <n v="20.38"/>
        <n v="16.48"/>
        <n v="3.37"/>
        <n v="2.0699999999999998"/>
        <n v="8.43"/>
        <n v="5.52"/>
        <n v="2.2200000000000002"/>
        <n v="1.61"/>
        <n v="0.15"/>
        <n v="11.03"/>
        <n v="18.010000000000002"/>
        <n v="17.28"/>
        <n v="3.92"/>
        <n v="7.35"/>
        <n v="7.84"/>
        <n v="4.17"/>
        <n v="2.33"/>
        <n v="0.12"/>
        <n v="13.78"/>
        <n v="15.11"/>
        <n v="4.59"/>
        <n v="9.0399999999999991"/>
        <n v="4.1500000000000004"/>
        <n v="11.56"/>
        <n v="5.78"/>
        <n v="1.93"/>
        <n v="1.78"/>
        <n v="1.19"/>
        <n v="17.559999999999999"/>
        <n v="17.37"/>
        <n v="6.99"/>
        <n v="4.3499999999999996"/>
        <n v="2.16"/>
        <n v="3.56"/>
        <n v="0.61"/>
        <n v="13.99"/>
        <n v="14.78"/>
        <n v="13.14"/>
        <n v="4.13"/>
        <n v="5.95"/>
        <n v="6.17"/>
        <n v="5.15"/>
        <n v="1.81"/>
        <n v="2.5499999999999998"/>
        <n v="22.09"/>
        <n v="19.18"/>
        <n v="6.58"/>
        <n v="3.62"/>
        <n v="2.17"/>
        <n v="1.33"/>
        <n v="7.16"/>
        <n v="7.03"/>
        <n v="3.71"/>
        <n v="2.21"/>
        <n v="4.1100000000000003"/>
        <n v="17.329999999999998"/>
        <n v="18.100000000000001"/>
        <n v="15.99"/>
        <n v="3.36"/>
        <n v="4.4800000000000004"/>
        <n v="3.79"/>
        <n v="0.52"/>
        <n v="23.88"/>
        <n v="16.84"/>
        <n v="6.97"/>
        <n v="3.73"/>
        <n v="7.46"/>
        <n v="1.1499999999999999"/>
        <n v="5.44"/>
        <n v="2.72"/>
        <n v="0.26"/>
        <n v="0.94"/>
        <n v="16.059999999999999"/>
        <n v="20.73"/>
        <n v="16.02"/>
        <n v="5.22"/>
        <n v="5.69"/>
        <n v="0.69"/>
        <n v="5.47"/>
        <n v="2.83"/>
        <n v="5.94"/>
        <n v="2.4300000000000002"/>
        <n v="22.71"/>
        <n v="13.63"/>
        <n v="9.2100000000000009"/>
        <n v="10.71"/>
        <n v="6.42"/>
        <n v="6.37"/>
        <n v="3.19"/>
        <n v="1.42"/>
        <n v="2.12"/>
        <n v="1.1100000000000001"/>
        <n v="0.44"/>
        <n v="20.21"/>
        <n v="12.67"/>
        <n v="16.37"/>
        <n v="6.3"/>
        <n v="1.66"/>
        <n v="5.39"/>
        <n v="9.3800000000000008"/>
        <n v="2.34"/>
        <n v="3.14"/>
        <n v="19.97"/>
        <n v="17.920000000000002"/>
        <n v="7.77"/>
        <n v="6.43"/>
        <n v="6.93"/>
        <n v="2.86"/>
        <n v="3.04"/>
        <n v="1.07"/>
        <n v="2.5"/>
        <n v="4.38"/>
        <n v="0.63"/>
        <n v="1.3"/>
        <n v="17.09"/>
        <n v="19.440000000000001"/>
        <n v="15.8"/>
        <n v="5.67"/>
        <n v="2.58"/>
        <n v="6.22"/>
        <n v="5.3"/>
        <n v="1.24"/>
        <n v="2.63"/>
        <n v="13.71"/>
        <n v="16.13"/>
        <n v="15.32"/>
        <n v="7.9"/>
        <n v="5.97"/>
        <n v="4.5199999999999996"/>
        <n v="2.1"/>
        <n v="1.1299999999999999"/>
        <n v="23.35"/>
        <n v="15.57"/>
        <n v="6.61"/>
        <n v="7.05"/>
        <n v="4.55"/>
        <n v="3.96"/>
        <n v="3.08"/>
        <n v="3.38"/>
        <n v="1.03"/>
        <n v="2.06"/>
        <n v="0.59"/>
        <n v="17.16"/>
        <n v="17.73"/>
        <n v="10.98"/>
        <n v="5.0999999999999996"/>
        <n v="7.68"/>
        <n v="8.11"/>
        <n v="2.94"/>
        <n v="25.89"/>
        <n v="16.16"/>
        <n v="13.24"/>
        <n v="4.46"/>
        <n v="1.26"/>
        <n v="6.21"/>
        <n v="4.1900000000000004"/>
        <n v="3.33"/>
        <n v="1.22"/>
        <n v="17.82"/>
        <n v="23.25"/>
        <n v="14.83"/>
        <n v="4.8899999999999997"/>
        <n v="7.1"/>
        <n v="5.73"/>
        <n v="5.14"/>
        <n v="1.91"/>
        <n v="35.619999999999997"/>
        <n v="14.33"/>
        <n v="11.15"/>
        <n v="4.3600000000000003"/>
        <n v="3.69"/>
        <n v="5.36"/>
        <n v="3.86"/>
        <n v="20.350000000000001"/>
        <n v="17.52"/>
        <n v="4.25"/>
        <n v="7.52"/>
        <n v="1.95"/>
        <n v="6.64"/>
        <n v="0.62"/>
        <n v="18.940000000000001"/>
        <n v="17.14"/>
        <n v="2.46"/>
        <n v="6.34"/>
        <n v="5.0199999999999996"/>
        <n v="0.19"/>
        <n v="31.35"/>
        <n v="15.67"/>
        <n v="12.95"/>
        <n v="4.7699999999999996"/>
        <n v="4.09"/>
        <n v="3.24"/>
        <n v="1.7"/>
        <n v="0.85"/>
        <n v="35.89"/>
        <n v="13.7"/>
        <n v="3.02"/>
        <n v="9.64"/>
        <n v="5.23"/>
        <n v="0.81"/>
        <n v="2.9"/>
        <n v="15.87"/>
        <n v="4.0599999999999996"/>
        <n v="11.07"/>
        <n v="14.39"/>
        <n v="10.33"/>
        <n v="7.75"/>
        <n v="0.37"/>
        <n v="19.079999999999998"/>
        <n v="14.84"/>
        <n v="12.72"/>
        <n v="2.4700000000000002"/>
        <n v="6.71"/>
        <n v="4.42"/>
        <n v="6.18"/>
        <n v="5.65"/>
        <n v="34.729999999999997"/>
        <n v="8.58"/>
        <n v="8.3800000000000008"/>
        <n v="7.19"/>
        <n v="2.2000000000000002"/>
        <n v="3.39"/>
        <n v="2.99"/>
        <n v="1.8"/>
        <n v="1.6"/>
        <n v="26.86"/>
        <n v="13.3"/>
        <n v="11.7"/>
        <n v="8.24"/>
        <n v="5.85"/>
        <n v="6.65"/>
        <n v="6.06"/>
        <n v="13.13"/>
        <n v="8.08"/>
        <n v="17.170000000000002"/>
        <n v="2.02"/>
        <n v="4.04"/>
        <n v="3.03"/>
        <n v="29.53"/>
        <n v="15.75"/>
        <n v="5.12"/>
        <n v="10.24"/>
        <n v="3.15"/>
        <n v="4.33"/>
        <n v="3.54"/>
        <n v="36.72"/>
        <n v="15.63"/>
        <n v="10.94"/>
        <n v="3.13"/>
        <n v="2.73"/>
        <n v="0.78"/>
        <n v="14.01"/>
        <n v="10.83"/>
        <n v="13.38"/>
        <n v="8.2799999999999994"/>
        <n v="3.18"/>
        <n v="36.840000000000003"/>
        <n v="12.28"/>
        <n v="11.58"/>
        <n v="4.21"/>
        <n v="5.61"/>
        <n v="4.5599999999999996"/>
        <n v="2.81"/>
        <n v="1.4"/>
        <n v="2.11"/>
        <n v="10.49"/>
        <n v="27.87"/>
        <n v="9.51"/>
        <n v="6.23"/>
        <n v="7.87"/>
        <n v="3.61"/>
        <n v="0.66"/>
        <n v="20.16"/>
        <n v="12.4"/>
        <n v="15.5"/>
        <n v="6.98"/>
        <n v="9.3000000000000007"/>
        <n v="1.55"/>
        <n v="4.6500000000000004"/>
        <n v="3.1"/>
        <n v="22.57"/>
        <n v="14.85"/>
        <n v="11.68"/>
        <n v="9.5"/>
        <n v="1.98"/>
        <n v="4.95"/>
        <n v="5.35"/>
        <n v="1.58"/>
        <n v="19.260000000000002"/>
        <n v="6.49"/>
        <n v="12.99"/>
        <n v="5.41"/>
        <n v="4.76"/>
        <n v="3.68"/>
        <n v="0.87"/>
        <n v="19.510000000000002"/>
        <n v="4.88"/>
        <n v="17.07"/>
        <n v="9.76"/>
        <n v="2.44"/>
        <n v="7.32"/>
      </sharedItems>
    </cacheField>
    <cacheField name="総数（法人）" numFmtId="0" sqlType="3">
      <sharedItems containsSemiMixedTypes="0" containsString="0" containsNumber="1" containsInteger="1" minValue="0" maxValue="8215" count="283">
        <n v="8215"/>
        <n v="3251"/>
        <n v="3414"/>
        <n v="5436"/>
        <n v="7305"/>
        <n v="5764"/>
        <n v="3307"/>
        <n v="998"/>
        <n v="5477"/>
        <n v="1890"/>
        <n v="1924"/>
        <n v="2741"/>
        <n v="2373"/>
        <n v="2590"/>
        <n v="3079"/>
        <n v="1718"/>
        <n v="1989"/>
        <n v="1154"/>
        <n v="1651"/>
        <n v="1512"/>
        <n v="3530"/>
        <n v="1380"/>
        <n v="1415"/>
        <n v="2131"/>
        <n v="2723"/>
        <n v="2353"/>
        <n v="1302"/>
        <n v="423"/>
        <n v="2194"/>
        <n v="1002"/>
        <n v="821"/>
        <n v="1260"/>
        <n v="1172"/>
        <n v="1318"/>
        <n v="890"/>
        <n v="1023"/>
        <n v="774"/>
        <n v="660"/>
        <n v="675"/>
        <n v="519"/>
        <n v="101"/>
        <n v="93"/>
        <n v="251"/>
        <n v="149"/>
        <n v="267"/>
        <n v="214"/>
        <n v="108"/>
        <n v="193"/>
        <n v="26"/>
        <n v="44"/>
        <n v="95"/>
        <n v="61"/>
        <n v="62"/>
        <n v="77"/>
        <n v="29"/>
        <n v="70"/>
        <n v="83"/>
        <n v="69"/>
        <n v="67"/>
        <n v="48"/>
        <n v="232"/>
        <n v="100"/>
        <n v="89"/>
        <n v="156"/>
        <n v="167"/>
        <n v="188"/>
        <n v="80"/>
        <n v="35"/>
        <n v="146"/>
        <n v="73"/>
        <n v="63"/>
        <n v="106"/>
        <n v="113"/>
        <n v="42"/>
        <n v="79"/>
        <n v="47"/>
        <n v="66"/>
        <n v="52"/>
        <n v="51"/>
        <n v="160"/>
        <n v="105"/>
        <n v="271"/>
        <n v="194"/>
        <n v="90"/>
        <n v="117"/>
        <n v="99"/>
        <n v="102"/>
        <n v="19"/>
        <n v="50"/>
        <n v="68"/>
        <n v="82"/>
        <n v="60"/>
        <n v="55"/>
        <n v="30"/>
        <n v="346"/>
        <n v="169"/>
        <n v="392"/>
        <n v="311"/>
        <n v="118"/>
        <n v="53"/>
        <n v="179"/>
        <n v="213"/>
        <n v="170"/>
        <n v="131"/>
        <n v="143"/>
        <n v="141"/>
        <n v="64"/>
        <n v="124"/>
        <n v="92"/>
        <n v="74"/>
        <n v="150"/>
        <n v="154"/>
        <n v="128"/>
        <n v="126"/>
        <n v="21"/>
        <n v="46"/>
        <n v="25"/>
        <n v="75"/>
        <n v="37"/>
        <n v="43"/>
        <n v="49"/>
        <n v="41"/>
        <n v="28"/>
        <n v="36"/>
        <n v="56"/>
        <n v="109"/>
        <n v="54"/>
        <n v="88"/>
        <n v="136"/>
        <n v="119"/>
        <n v="122"/>
        <n v="22"/>
        <n v="32"/>
        <n v="33"/>
        <n v="148"/>
        <n v="14"/>
        <n v="17"/>
        <n v="27"/>
        <n v="39"/>
        <n v="18"/>
        <n v="24"/>
        <n v="81"/>
        <n v="45"/>
        <n v="97"/>
        <n v="57"/>
        <n v="31"/>
        <n v="40"/>
        <n v="469"/>
        <n v="104"/>
        <n v="133"/>
        <n v="183"/>
        <n v="211"/>
        <n v="189"/>
        <n v="166"/>
        <n v="112"/>
        <n v="110"/>
        <n v="175"/>
        <n v="65"/>
        <n v="139"/>
        <n v="135"/>
        <n v="71"/>
        <n v="85"/>
        <n v="199"/>
        <n v="200"/>
        <n v="152"/>
        <n v="121"/>
        <n v="137"/>
        <n v="20"/>
        <n v="187"/>
        <n v="138"/>
        <n v="59"/>
        <n v="1"/>
        <n v="177"/>
        <n v="180"/>
        <n v="158"/>
        <n v="91"/>
        <n v="132"/>
        <n v="103"/>
        <n v="87"/>
        <n v="16"/>
        <n v="23"/>
        <n v="34"/>
        <n v="15"/>
        <n v="78"/>
        <n v="5"/>
        <n v="12"/>
        <n v="11"/>
        <n v="10"/>
        <n v="162"/>
        <n v="13"/>
        <n v="38"/>
        <n v="347"/>
        <n v="86"/>
        <n v="145"/>
        <n v="186"/>
        <n v="94"/>
        <n v="282"/>
        <n v="98"/>
        <n v="204"/>
        <n v="176"/>
        <n v="123"/>
        <n v="107"/>
        <n v="96"/>
        <n v="492"/>
        <n v="1369"/>
        <n v="522"/>
        <n v="727"/>
        <n v="832"/>
        <n v="878"/>
        <n v="475"/>
        <n v="887"/>
        <n v="155"/>
        <n v="245"/>
        <n v="258"/>
        <n v="348"/>
        <n v="455"/>
        <n v="354"/>
        <n v="350"/>
        <n v="295"/>
        <n v="293"/>
        <n v="263"/>
        <n v="226"/>
        <n v="171"/>
        <n v="151"/>
        <n v="223"/>
        <n v="197"/>
        <n v="84"/>
        <n v="76"/>
        <n v="129"/>
        <n v="114"/>
        <n v="0"/>
        <n v="6"/>
        <n v="215"/>
        <n v="153"/>
        <n v="224"/>
        <n v="184"/>
        <n v="111"/>
        <n v="120"/>
        <n v="256"/>
        <n v="195"/>
        <n v="447"/>
        <n v="552"/>
        <n v="643"/>
        <n v="379"/>
        <n v="456"/>
        <n v="233"/>
        <n v="277"/>
        <n v="172"/>
        <n v="201"/>
        <n v="178"/>
        <n v="157"/>
        <n v="173"/>
        <n v="168"/>
        <n v="228"/>
        <n v="255"/>
        <n v="116"/>
        <n v="165"/>
        <n v="58"/>
        <n v="369"/>
        <n v="205"/>
        <n v="240"/>
        <n v="190"/>
        <n v="198"/>
        <n v="230"/>
        <n v="192"/>
        <n v="343"/>
        <n v="290"/>
        <n v="341"/>
        <n v="210"/>
        <n v="218"/>
        <n v="72"/>
        <n v="147"/>
        <n v="9"/>
        <n v="8"/>
        <n v="7"/>
        <n v="3"/>
        <n v="144"/>
        <n v="340"/>
        <n v="273"/>
        <n v="181"/>
        <n v="242"/>
        <n v="4"/>
        <n v="2"/>
      </sharedItems>
    </cacheField>
    <cacheField name="構成比（法人）" numFmtId="0" sqlType="3">
      <sharedItems containsSemiMixedTypes="0" containsString="0" containsNumber="1" minValue="0" maxValue="27.27" count="599">
        <n v="9.35"/>
        <n v="3.7"/>
        <n v="3.88"/>
        <n v="6.18"/>
        <n v="8.31"/>
        <n v="6.56"/>
        <n v="3.76"/>
        <n v="1.1399999999999999"/>
        <n v="6.23"/>
        <n v="2.15"/>
        <n v="2.19"/>
        <n v="3.12"/>
        <n v="2.7"/>
        <n v="2.95"/>
        <n v="3.5"/>
        <n v="1.95"/>
        <n v="2.2599999999999998"/>
        <n v="1.31"/>
        <n v="1.88"/>
        <n v="1.72"/>
        <n v="9.66"/>
        <n v="3.78"/>
        <n v="3.87"/>
        <n v="5.83"/>
        <n v="7.45"/>
        <n v="6.44"/>
        <n v="3.56"/>
        <n v="1.1599999999999999"/>
        <n v="6"/>
        <n v="2.74"/>
        <n v="2.25"/>
        <n v="3.45"/>
        <n v="3.21"/>
        <n v="3.61"/>
        <n v="2.4300000000000002"/>
        <n v="2.8"/>
        <n v="2.12"/>
        <n v="1.81"/>
        <n v="1.85"/>
        <n v="1.42"/>
        <n v="3.49"/>
        <n v="3.22"/>
        <n v="8.69"/>
        <n v="5.16"/>
        <n v="9.24"/>
        <n v="7.4"/>
        <n v="3.74"/>
        <n v="6.68"/>
        <n v="0.9"/>
        <n v="1.52"/>
        <n v="3.29"/>
        <n v="2.11"/>
        <n v="2.66"/>
        <n v="1"/>
        <n v="2.42"/>
        <n v="2.87"/>
        <n v="2.39"/>
        <n v="2.3199999999999998"/>
        <n v="1.66"/>
        <n v="9.2200000000000006"/>
        <n v="3.97"/>
        <n v="3.54"/>
        <n v="6.2"/>
        <n v="6.64"/>
        <n v="7.47"/>
        <n v="3.18"/>
        <n v="1.39"/>
        <n v="5.8"/>
        <n v="2.9"/>
        <n v="2.5"/>
        <n v="4.21"/>
        <n v="4.49"/>
        <n v="1.67"/>
        <n v="3.14"/>
        <n v="1.87"/>
        <n v="2.62"/>
        <n v="2.0699999999999998"/>
        <n v="2.0299999999999998"/>
        <n v="7.1"/>
        <n v="4.66"/>
        <n v="12.02"/>
        <n v="8.61"/>
        <n v="3.99"/>
        <n v="3.06"/>
        <n v="5.19"/>
        <n v="4.3899999999999997"/>
        <n v="4.53"/>
        <n v="0.84"/>
        <n v="2.2200000000000002"/>
        <n v="3.02"/>
        <n v="3.68"/>
        <n v="3.64"/>
        <n v="2.44"/>
        <n v="2.13"/>
        <n v="2.09"/>
        <n v="1.33"/>
        <n v="8.2200000000000006"/>
        <n v="4.01"/>
        <n v="9.31"/>
        <n v="7.39"/>
        <n v="5.51"/>
        <n v="1.26"/>
        <n v="3.47"/>
        <n v="4.25"/>
        <n v="5.0599999999999996"/>
        <n v="4.04"/>
        <n v="3.11"/>
        <n v="3.4"/>
        <n v="3.35"/>
        <n v="2.94"/>
        <n v="2.52"/>
        <n v="1.57"/>
        <n v="1.21"/>
        <n v="5.09"/>
        <n v="4.09"/>
        <n v="8.3000000000000007"/>
        <n v="6.25"/>
        <n v="5.64"/>
        <n v="8.52"/>
        <n v="7.08"/>
        <n v="6.97"/>
        <n v="2.54"/>
        <n v="1.38"/>
        <n v="2.88"/>
        <n v="4.1500000000000004"/>
        <n v="2.0499999999999998"/>
        <n v="2.38"/>
        <n v="2.71"/>
        <n v="2.27"/>
        <n v="1.55"/>
        <n v="1.99"/>
        <n v="3.69"/>
        <n v="7.18"/>
        <n v="5.4"/>
        <n v="8.9600000000000009"/>
        <n v="7.84"/>
        <n v="8.0399999999999991"/>
        <n v="1.45"/>
        <n v="4.87"/>
        <n v="1.65"/>
        <n v="1.91"/>
        <n v="1.84"/>
        <n v="2.37"/>
        <n v="2.17"/>
        <n v="1.25"/>
        <n v="3.89"/>
        <n v="11.5"/>
        <n v="5.21"/>
        <n v="5.28"/>
        <n v="7.93"/>
        <n v="4.9000000000000004"/>
        <n v="7.85"/>
        <n v="6.99"/>
        <n v="1.0900000000000001"/>
        <n v="1.32"/>
        <n v="3.81"/>
        <n v="2.1"/>
        <n v="1.63"/>
        <n v="1.71"/>
        <n v="3.03"/>
        <n v="2.4900000000000002"/>
        <n v="2.56"/>
        <n v="1.4"/>
        <n v="1.94"/>
        <n v="1.86"/>
        <n v="1.48"/>
        <n v="8.06"/>
        <n v="5.53"/>
        <n v="3.07"/>
        <n v="6.63"/>
        <n v="7.72"/>
        <n v="4.51"/>
        <n v="3.55"/>
        <n v="4.2300000000000004"/>
        <n v="3.28"/>
        <n v="2.73"/>
        <n v="1.98"/>
        <n v="1.78"/>
        <n v="12.46"/>
        <n v="2.76"/>
        <n v="3.53"/>
        <n v="4.8600000000000003"/>
        <n v="1.22"/>
        <n v="5.6"/>
        <n v="5.0199999999999996"/>
        <n v="4.41"/>
        <n v="2.97"/>
        <n v="2.92"/>
        <n v="4.6500000000000004"/>
        <n v="1.73"/>
        <n v="3.59"/>
        <n v="2.58"/>
        <n v="1.89"/>
        <n v="1.75"/>
        <n v="4.46"/>
        <n v="2.41"/>
        <n v="10.45"/>
        <n v="10.5"/>
        <n v="7.98"/>
        <n v="6.35"/>
        <n v="7.19"/>
        <n v="1.05"/>
        <n v="3.15"/>
        <n v="2.31"/>
        <n v="3.36"/>
        <n v="3.52"/>
        <n v="3.62"/>
        <n v="2.83"/>
        <n v="1.68"/>
        <n v="11.39"/>
        <n v="5.07"/>
        <n v="3.08"/>
        <n v="10.65"/>
        <n v="5.69"/>
        <n v="7.86"/>
        <n v="1.08"/>
        <n v="6.95"/>
        <n v="4.2699999999999996"/>
        <n v="2.33"/>
        <n v="3.42"/>
        <n v="2.4500000000000002"/>
        <n v="1.82"/>
        <n v="0.06"/>
        <n v="0.8"/>
        <n v="4"/>
        <n v="5.95"/>
        <n v="10.42"/>
        <n v="10.6"/>
        <n v="5.36"/>
        <n v="2.5299999999999998"/>
        <n v="1.1200000000000001"/>
        <n v="3.77"/>
        <n v="2.06"/>
        <n v="3.3"/>
        <n v="2.89"/>
        <n v="1.41"/>
        <n v="1.77"/>
        <n v="4.54"/>
        <n v="3.32"/>
        <n v="10.7"/>
        <n v="8.35"/>
        <n v="7.05"/>
        <n v="5.35"/>
        <n v="7.21"/>
        <n v="1.3"/>
        <n v="2.59"/>
        <n v="3.24"/>
        <n v="7.79"/>
        <n v="3.1"/>
        <n v="2.4"/>
        <n v="12.09"/>
        <n v="11.19"/>
        <n v="10.09"/>
        <n v="4.4000000000000004"/>
        <n v="1.8"/>
        <n v="0.5"/>
        <n v="3.9"/>
        <n v="3"/>
        <n v="1.2"/>
        <n v="1.9"/>
        <n v="1.7"/>
        <n v="4.37"/>
        <n v="9.9700000000000006"/>
        <n v="12.57"/>
        <n v="9.2899999999999991"/>
        <n v="1.64"/>
        <n v="1.5"/>
        <n v="4.6399999999999997"/>
        <n v="6.28"/>
        <n v="2.6"/>
        <n v="1.37"/>
        <n v="3.65"/>
        <n v="13.15"/>
        <n v="11.12"/>
        <n v="7.22"/>
        <n v="2.35"/>
        <n v="4.79"/>
        <n v="1.06"/>
        <n v="3.17"/>
        <n v="3.73"/>
        <n v="1.79"/>
        <n v="1.62"/>
        <n v="1.46"/>
        <n v="13.78"/>
        <n v="3.41"/>
        <n v="5.76"/>
        <n v="7.38"/>
        <n v="3.57"/>
        <n v="2.46"/>
        <n v="2.34"/>
        <n v="2.1800000000000002"/>
        <n v="10.210000000000001"/>
        <n v="6.37"/>
        <n v="5.5"/>
        <n v="4.05"/>
        <n v="4.45"/>
        <n v="3.51"/>
        <n v="10.52"/>
        <n v="5.59"/>
        <n v="6.39"/>
        <n v="6.75"/>
        <n v="6.82"/>
        <n v="1.19"/>
        <n v="2.67"/>
        <n v="2.72"/>
        <n v="2.69"/>
        <n v="2.08"/>
        <n v="2.02"/>
        <n v="3.83"/>
        <n v="7.04"/>
        <n v="9.69"/>
        <n v="5.33"/>
        <n v="4.7"/>
        <n v="6.94"/>
        <n v="6.14"/>
        <n v="0.65"/>
        <n v="0.93"/>
        <n v="2.68"/>
        <n v="2.21"/>
        <n v="3.43"/>
        <n v="3.79"/>
        <n v="9.23"/>
        <n v="6.29"/>
        <n v="7.65"/>
        <n v="4.58"/>
        <n v="8.15"/>
        <n v="6.72"/>
        <n v="3.93"/>
        <n v="0"/>
        <n v="3.58"/>
        <n v="1.29"/>
        <n v="2.29"/>
        <n v="1.93"/>
        <n v="1.36"/>
        <n v="0.43"/>
        <n v="6.5"/>
        <n v="10.130000000000001"/>
        <n v="1.51"/>
        <n v="4.1900000000000004"/>
        <n v="5.84"/>
        <n v="5.18"/>
        <n v="4.24"/>
        <n v="4.43"/>
        <n v="1.1299999999999999"/>
        <n v="2.78"/>
        <n v="2.36"/>
        <n v="13.24"/>
        <n v="3.27"/>
        <n v="4.3"/>
        <n v="5.13"/>
        <n v="6.01"/>
        <n v="1.27"/>
        <n v="4.9800000000000004"/>
        <n v="3.91"/>
        <n v="1.61"/>
        <n v="2.98"/>
        <n v="2"/>
        <n v="14.48"/>
        <n v="5.17"/>
        <n v="5.56"/>
        <n v="7.11"/>
        <n v="8.02"/>
        <n v="4.33"/>
        <n v="1.49"/>
        <n v="12.27"/>
        <n v="8.4"/>
        <n v="2.93"/>
        <n v="3.67"/>
        <n v="2.4700000000000002"/>
        <n v="1.47"/>
        <n v="1.6"/>
        <n v="10.119999999999999"/>
        <n v="4.22"/>
        <n v="3.04"/>
        <n v="7.59"/>
        <n v="6.24"/>
        <n v="5.82"/>
        <n v="1.35"/>
        <n v="4.97"/>
        <n v="3.63"/>
        <n v="2.2799999999999998"/>
        <n v="1.43"/>
        <n v="3.71"/>
        <n v="6.49"/>
        <n v="8.01"/>
        <n v="9.33"/>
        <n v="6.62"/>
        <n v="2.48"/>
        <n v="3.38"/>
        <n v="4.0199999999999996"/>
        <n v="5.45"/>
        <n v="9.93"/>
        <n v="5.91"/>
        <n v="2.99"/>
        <n v="3.39"/>
        <n v="8.16"/>
        <n v="9.1199999999999992"/>
        <n v="6.73"/>
        <n v="0.86"/>
        <n v="2.04"/>
        <n v="4.26"/>
        <n v="3.94"/>
        <n v="2.65"/>
        <n v="7.82"/>
        <n v="2.63"/>
        <n v="7.94"/>
        <n v="9.1300000000000008"/>
        <n v="1.83"/>
        <n v="7.01"/>
        <n v="5.0999999999999996"/>
        <n v="2.85"/>
        <n v="6.6"/>
        <n v="8.0299999999999994"/>
        <n v="7.6"/>
        <n v="1.34"/>
        <n v="7.14"/>
        <n v="8.68"/>
        <n v="6.76"/>
        <n v="9.65"/>
        <n v="6.87"/>
        <n v="7.16"/>
        <n v="0.72"/>
        <n v="3.33"/>
        <n v="11.15"/>
        <n v="4.03"/>
        <n v="6.74"/>
        <n v="1.07"/>
        <n v="3.25"/>
        <n v="3.01"/>
        <n v="4.34"/>
        <n v="9.19"/>
        <n v="7.77"/>
        <n v="9.14"/>
        <n v="4.7699999999999996"/>
        <n v="2.81"/>
        <n v="5.63"/>
        <n v="2.79"/>
        <n v="1.96"/>
        <n v="1.69"/>
        <n v="8.85"/>
        <n v="9.68"/>
        <n v="5.46"/>
        <n v="6.06"/>
        <n v="1.1499999999999999"/>
        <n v="2.16"/>
        <n v="1.74"/>
        <n v="8.89"/>
        <n v="4.28"/>
        <n v="7.67"/>
        <n v="9.89"/>
        <n v="8.17"/>
        <n v="6.11"/>
        <n v="3.95"/>
        <n v="1.1100000000000001"/>
        <n v="1.17"/>
        <n v="10.55"/>
        <n v="5.47"/>
        <n v="9.9600000000000009"/>
        <n v="5.86"/>
        <n v="1.76"/>
        <n v="7.42"/>
        <n v="5.27"/>
        <n v="4.0999999999999996"/>
        <n v="1.56"/>
        <n v="11.28"/>
        <n v="9.15"/>
        <n v="6.81"/>
        <n v="7.66"/>
        <n v="4.8899999999999997"/>
        <n v="1.28"/>
        <n v="2.5499999999999998"/>
        <n v="0.64"/>
        <n v="4.74"/>
        <n v="8.44"/>
        <n v="10.67"/>
        <n v="7.7"/>
        <n v="4.67"/>
        <n v="5.7"/>
        <n v="5.85"/>
        <n v="3.26"/>
        <n v="11.63"/>
        <n v="9.34"/>
        <n v="6.19"/>
        <n v="6.16"/>
        <n v="0.96"/>
        <n v="10.72"/>
        <n v="3.37"/>
        <n v="8.24"/>
        <n v="2.2999999999999998"/>
        <n v="6.42"/>
        <n v="1.59"/>
        <n v="9.44"/>
        <n v="3.84"/>
        <n v="11.31"/>
        <n v="6.15"/>
        <n v="4.0599999999999996"/>
        <n v="0.66"/>
        <n v="5.05"/>
        <n v="2.96"/>
        <n v="1.1000000000000001"/>
        <n v="10.050000000000001"/>
        <n v="9.8000000000000007"/>
        <n v="6.13"/>
        <n v="5.15"/>
        <n v="0.98"/>
        <n v="6.45"/>
        <n v="3.19"/>
        <n v="8.9"/>
        <n v="3.92"/>
        <n v="9.75"/>
        <n v="5.93"/>
        <n v="7.73"/>
        <n v="2.86"/>
        <n v="2.0099999999999998"/>
        <n v="19.149999999999999"/>
        <n v="8.73"/>
        <n v="11.27"/>
        <n v="0.85"/>
        <n v="3.66"/>
        <n v="0.56000000000000005"/>
        <n v="1.24"/>
        <n v="8.6"/>
        <n v="8.08"/>
        <n v="0.83"/>
        <n v="0.73"/>
        <n v="1.97"/>
        <n v="5.03"/>
        <n v="12.72"/>
        <n v="6.21"/>
        <n v="9.4700000000000006"/>
        <n v="4.4400000000000004"/>
        <n v="4.1399999999999997"/>
        <n v="1.18"/>
        <n v="9.57"/>
        <n v="12.95"/>
        <n v="8.26"/>
        <n v="4.6900000000000004"/>
        <n v="3.75"/>
        <n v="6.38"/>
        <n v="0.38"/>
        <n v="4.32"/>
        <n v="0.94"/>
        <n v="10.38"/>
        <n v="3.85"/>
        <n v="1.92"/>
        <n v="3.46"/>
        <n v="4.62"/>
        <n v="1.54"/>
        <n v="8.94"/>
        <n v="5.96"/>
        <n v="9.7899999999999991"/>
        <n v="15.58"/>
        <n v="9.09"/>
        <n v="14.46"/>
        <n v="13.86"/>
        <n v="8.43"/>
        <n v="0.6"/>
        <n v="13.91"/>
        <n v="3.48"/>
        <n v="6.96"/>
        <n v="10.43"/>
        <n v="5.22"/>
        <n v="4.3499999999999996"/>
        <n v="2.61"/>
        <n v="0.87"/>
        <n v="6.4"/>
        <n v="16.8"/>
        <n v="10.4"/>
        <n v="3.2"/>
        <n v="16.91"/>
        <n v="9.56"/>
        <n v="5.88"/>
        <n v="0.74"/>
        <n v="27.27"/>
        <n v="9.76"/>
        <n v="8.8699999999999992"/>
        <n v="8.65"/>
        <n v="0.67"/>
        <n v="0.89"/>
        <n v="10.47"/>
        <n v="5.81"/>
        <n v="12.79"/>
        <n v="5.68"/>
        <n v="7.57"/>
        <n v="9.7799999999999994"/>
        <n v="7.26"/>
        <n v="4.42"/>
        <n v="0.32"/>
        <n v="0.95"/>
        <n v="1.58"/>
        <n v="11.91"/>
        <n v="6.05"/>
        <n v="8.7899999999999991"/>
        <n v="3.13"/>
        <n v="4.88"/>
        <n v="0.2"/>
        <n v="0.59"/>
        <n v="19.05"/>
        <n v="4.76"/>
      </sharedItems>
    </cacheField>
    <cacheField name="総数（法人以外の団体）" numFmtId="0" sqlType="3">
      <sharedItems containsSemiMixedTypes="0" containsString="0" containsNumber="1" containsInteger="1" minValue="0" maxValue="31" count="14">
        <n v="31"/>
        <n v="10"/>
        <n v="3"/>
        <n v="5"/>
        <n v="2"/>
        <n v="0"/>
        <n v="18"/>
        <n v="6"/>
        <n v="1"/>
        <n v="19"/>
        <n v="4"/>
        <n v="12"/>
        <n v="8"/>
        <n v="7"/>
      </sharedItems>
    </cacheField>
    <cacheField name="構成比（法人以外の団体）" numFmtId="0" sqlType="3">
      <sharedItems containsString="0" containsBlank="1" containsNumber="1" minValue="0" maxValue="100" count="42">
        <n v="14.83"/>
        <n v="4.78"/>
        <n v="1.44"/>
        <n v="2.39"/>
        <n v="0.96"/>
        <n v="0"/>
        <n v="8.61"/>
        <n v="2.87"/>
        <n v="0.48"/>
        <n v="9.09"/>
        <n v="19.350000000000001"/>
        <n v="3.23"/>
        <n v="1.08"/>
        <n v="4.3"/>
        <n v="2.15"/>
        <n v="12.9"/>
        <n v="12.5"/>
        <n v="8.33"/>
        <n v="16.670000000000002"/>
        <n v="66.67"/>
        <n v="50"/>
        <n v="13.64"/>
        <n v="31.82"/>
        <m/>
        <n v="20"/>
        <n v="40"/>
        <n v="33.33"/>
        <n v="25"/>
        <n v="100"/>
        <n v="77.78"/>
        <n v="11.11"/>
        <n v="10"/>
        <n v="6.25"/>
        <n v="18.75"/>
        <n v="15.38"/>
        <n v="23.08"/>
        <n v="7.69"/>
        <n v="28.57"/>
        <n v="14.29"/>
        <n v="22.22"/>
        <n v="60"/>
        <n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539175231483" createdVersion="5" refreshedVersion="5" minRefreshableVersion="3" recordCount="1281">
  <cacheSource type="external" connectionId="3"/>
  <cacheFields count="19">
    <cacheField name="ti" numFmtId="0" sqlType="-8">
      <sharedItems count="62">
        <s v="ti.14000"/>
        <s v="ti.14100"/>
        <s v="ti.14101"/>
        <s v="ti.14102"/>
        <s v="ti.14103"/>
        <s v="ti.14104"/>
        <s v="ti.14105"/>
        <s v="ti.14106"/>
        <s v="ti.14107"/>
        <s v="ti.14108"/>
        <s v="ti.14109"/>
        <s v="ti.14110"/>
        <s v="ti.14111"/>
        <s v="ti.14112"/>
        <s v="ti.14113"/>
        <s v="ti.14114"/>
        <s v="ti.14115"/>
        <s v="ti.14116"/>
        <s v="ti.14117"/>
        <s v="ti.14118"/>
        <s v="ti.14130"/>
        <s v="ti.14131"/>
        <s v="ti.14132"/>
        <s v="ti.14133"/>
        <s v="ti.14134"/>
        <s v="ti.14135"/>
        <s v="ti.14136"/>
        <s v="ti.14137"/>
        <s v="ti.14150"/>
        <s v="ti.14151"/>
        <s v="ti.14152"/>
        <s v="ti.14153"/>
        <s v="ti.14201"/>
        <s v="ti.14203"/>
        <s v="ti.14204"/>
        <s v="ti.14205"/>
        <s v="ti.14206"/>
        <s v="ti.14207"/>
        <s v="ti.14208"/>
        <s v="ti.14210"/>
        <s v="ti.14211"/>
        <s v="ti.14212"/>
        <s v="ti.14213"/>
        <s v="ti.14214"/>
        <s v="ti.14215"/>
        <s v="ti.14216"/>
        <s v="ti.14217"/>
        <s v="ti.14218"/>
        <s v="ti.14301"/>
        <s v="ti.14321"/>
        <s v="ti.14341"/>
        <s v="ti.14342"/>
        <s v="ti.14361"/>
        <s v="ti.14362"/>
        <s v="ti.14363"/>
        <s v="ti.14364"/>
        <s v="ti.14366"/>
        <s v="ti.14382"/>
        <s v="ti.14383"/>
        <s v="ti.14384"/>
        <s v="ti.14401"/>
        <s v="ti.14402"/>
      </sharedItems>
    </cacheField>
    <cacheField name="kencd" numFmtId="0" sqlType="-9">
      <sharedItems count="1">
        <s v="14"/>
      </sharedItems>
    </cacheField>
    <cacheField name="都道府県" numFmtId="0" sqlType="-9">
      <sharedItems count="1">
        <s v="14 神奈川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62">
        <s v="神奈川県"/>
        <s v="横浜市"/>
        <s v="横浜市鶴見区"/>
        <s v="横浜市神奈川区"/>
        <s v="横浜市西区"/>
        <s v="横浜市中区"/>
        <s v="横浜市南区"/>
        <s v="横浜市保土ケ谷区"/>
        <s v="横浜市磯子区"/>
        <s v="横浜市金沢区"/>
        <s v="横浜市港北区"/>
        <s v="横浜市戸塚区"/>
        <s v="横浜市港南区"/>
        <s v="横浜市旭区"/>
        <s v="横浜市緑区"/>
        <s v="横浜市瀬谷区"/>
        <s v="横浜市栄区"/>
        <s v="横浜市泉区"/>
        <s v="横浜市青葉区"/>
        <s v="横浜市都筑区"/>
        <s v="川崎市"/>
        <s v="川崎市川崎区"/>
        <s v="川崎市幸区"/>
        <s v="川崎市中原区"/>
        <s v="川崎市高津区"/>
        <s v="川崎市多摩区"/>
        <s v="川崎市宮前区"/>
        <s v="川崎市麻生区"/>
        <s v="相模原市"/>
        <s v="相模原市緑区"/>
        <s v="相模原市中央区"/>
        <s v="相模原市南区"/>
        <s v="横須賀市"/>
        <s v="平塚市"/>
        <s v="鎌倉市"/>
        <s v="藤沢市"/>
        <s v="小田原市"/>
        <s v="茅ヶ崎市"/>
        <s v="逗子市"/>
        <s v="三浦市"/>
        <s v="秦野市"/>
        <s v="厚木市"/>
        <s v="大和市"/>
        <s v="伊勢原市"/>
        <s v="海老名市"/>
        <s v="座間市"/>
        <s v="南足柄市"/>
        <s v="綾瀬市"/>
        <s v="三浦郡葉山町"/>
        <s v="高座郡寒川町"/>
        <s v="中郡大磯町"/>
        <s v="中郡二宮町"/>
        <s v="足柄上郡中井町"/>
        <s v="足柄上郡大井町"/>
        <s v="足柄上郡松田町"/>
        <s v="足柄上郡山北町"/>
        <s v="足柄上郡開成町"/>
        <s v="足柄下郡箱根町"/>
        <s v="足柄下郡真鶴町"/>
        <s v="足柄下郡湯河原町"/>
        <s v="愛甲郡愛川町"/>
        <s v="愛甲郡清川村"/>
      </sharedItems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san" numFmtId="0" sqlType="-8">
      <sharedItems count="75">
        <s v="sanC1.0490"/>
        <s v="sanC1.0582"/>
        <s v="sanC1.0564"/>
        <s v="sanC1.0557"/>
        <s v="sanC1.0646"/>
        <s v="sanC1.0664"/>
        <s v="sanC1.0581"/>
        <s v="sanC1.0565"/>
        <s v="sanC1.0440"/>
        <s v="sanC1.0492"/>
        <s v="sanC1.0419"/>
        <s v="sanC1.0489"/>
        <s v="sanC1.0578"/>
        <s v="sanC1.0059"/>
        <s v="sanC1.0486"/>
        <s v="sanC1.0057"/>
        <s v="sanC1.0039"/>
        <s v="sanC1.0041"/>
        <s v="sanC1.0408"/>
        <s v="sanC1.0424"/>
        <s v="sanC1.0043"/>
        <s v="sanC1.0534"/>
        <s v="sanC1.0431"/>
        <s v="sanC1.0052"/>
        <s v="sanC1.0660"/>
        <s v="sanC1.0516"/>
        <s v="sanC1.0410"/>
        <s v="sanC1.0418"/>
        <s v="sanC1.0306"/>
        <s v="sanC1.0738"/>
        <s v="sanC1.0511"/>
        <s v="sanC1.0566"/>
        <s v="sanC1.0525"/>
        <s v="sanC1.0115"/>
        <s v="sanC1.0491"/>
        <s v="sanC1.0053"/>
        <s v="sanC1.0042"/>
        <s v="sanC1.0645"/>
        <s v="sanC1.0192"/>
        <s v="sanC1.0213"/>
        <s v="sanC1.0054"/>
        <s v="sanC1.0722"/>
        <s v="sanC1.0046"/>
        <s v="sanC1.0686"/>
        <s v="sanC1.0522"/>
        <s v="sanC1.0556"/>
        <s v="sanC1.0321"/>
        <s v="sanC1.0430"/>
        <s v="sanC1.0370"/>
        <s v="sanC1.0619"/>
        <s v="sanC1.0547"/>
        <s v="sanC1.0247"/>
        <s v="sanC1.0211"/>
        <s v="sanC1.0435"/>
        <s v="sanC1.0051"/>
        <s v="sanC1.0379"/>
        <s v="sanC1.0414"/>
        <s v="sanC1.0416"/>
        <s v="sanC1.0447"/>
        <s v="sanC1.0139"/>
        <s v="sanC1.0736"/>
        <s v="sanC1.0265"/>
        <s v="sanC1.0574"/>
        <s v="sanC1.0417"/>
        <s v="sanC1.0326"/>
        <s v="sanC1.0413"/>
        <s v="sanC1.0550"/>
        <s v="sanC1.0562"/>
        <s v="sanC1.0169"/>
        <s v="sanC1.0032"/>
        <s v="sanC1.0563"/>
        <s v="sanC1.0071"/>
        <s v="sanC1.0084"/>
        <s v="sanC1.0429"/>
        <s v="sanC1.0665"/>
      </sharedItems>
    </cacheField>
    <cacheField name="産業分類コード" numFmtId="0" sqlType="-9">
      <sharedItems count="75">
        <s v="692"/>
        <s v="783"/>
        <s v="765"/>
        <s v="762"/>
        <s v="824"/>
        <s v="835"/>
        <s v="782"/>
        <s v="766"/>
        <s v="609"/>
        <s v="694"/>
        <s v="589"/>
        <s v="691"/>
        <s v="781"/>
        <s v="083"/>
        <s v="682"/>
        <s v="081"/>
        <s v="062"/>
        <s v="064"/>
        <s v="573"/>
        <s v="591"/>
        <s v="066"/>
        <s v="742"/>
        <s v="603"/>
        <s v="077"/>
        <s v="833"/>
        <s v="724"/>
        <s v="579"/>
        <s v="586"/>
        <s v="391"/>
        <s v="929"/>
        <s v="721"/>
        <s v="767"/>
        <s v="729"/>
        <s v="151"/>
        <s v="693"/>
        <s v="078"/>
        <s v="065"/>
        <s v="823"/>
        <s v="244"/>
        <s v="269"/>
        <s v="079"/>
        <s v="891"/>
        <s v="071"/>
        <s v="855"/>
        <s v="728"/>
        <s v="761"/>
        <s v="432"/>
        <s v="602"/>
        <s v="521"/>
        <s v="809"/>
        <s v="751"/>
        <s v="311"/>
        <s v="266"/>
        <s v="607"/>
        <s v="076"/>
        <s v="531"/>
        <s v="582"/>
        <s v="584"/>
        <s v="611"/>
        <s v="183"/>
        <s v="922"/>
        <s v="329"/>
        <s v="772"/>
        <s v="585"/>
        <s v="441"/>
        <s v="581"/>
        <s v="759"/>
        <s v="763"/>
        <s v="218"/>
        <s v="054"/>
        <s v="764"/>
        <s v="097"/>
        <s v="111"/>
        <s v="601"/>
        <s v="836"/>
      </sharedItems>
    </cacheField>
    <cacheField name="産業分類" numFmtId="0" sqlType="-9">
      <sharedItems count="75">
        <s v="貸家業，貸間業"/>
        <s v="美容業"/>
        <s v="酒場，ビヤホール"/>
        <s v="専門料理店"/>
        <s v="教養・技能教授業"/>
        <s v="療術業"/>
        <s v="理容業"/>
        <s v="バー，キャバレー，ナイトクラブ"/>
        <s v="他に分類されない小売業"/>
        <s v="不動産管理業"/>
        <s v="その他の飲食料品小売業"/>
        <s v="不動産賃貸業（貸家業，貸間業を除く）"/>
        <s v="洗濯業"/>
        <s v="管工事業（さく井工事業を除く）"/>
        <s v="不動産代理業・仲介業"/>
        <s v="電気工事業"/>
        <s v="土木工事業（舗装工事業を除く）"/>
        <s v="建築工事業（木造建築工事業を除く）"/>
        <s v="婦人・子供服小売業"/>
        <s v="自動車小売業"/>
        <s v="建築リフォーム工事業"/>
        <s v="土木建築サービス業"/>
        <s v="医薬品・化粧品小売業"/>
        <s v="塗装工事業"/>
        <s v="歯科診療所"/>
        <s v="公認会計士事務所，税理士事務所"/>
        <s v="その他の織物・衣服・身の回り品小売業"/>
        <s v="菓子・パン小売業"/>
        <s v="ソフトウェア業"/>
        <s v="他に分類されない事業サービス業"/>
        <s v="法律事務所，特許事務所"/>
        <s v="喫茶店"/>
        <s v="その他の専門サービス業"/>
        <s v="印刷業"/>
        <s v="駐車場業"/>
        <s v="床・内装工事業"/>
        <s v="木造建築工事業"/>
        <s v="学習塾"/>
        <s v="建設用・建築用金属製品製造業（製缶板金業を含む）"/>
        <s v="その他の生産用機械・同部分品製造業"/>
        <s v="その他の職別工事業"/>
        <s v="自動車整備業"/>
        <s v="大工工事業"/>
        <s v="障害者福祉事業"/>
        <s v="経営コンサルタント業，純粋持株会社"/>
        <s v="食堂，レストラン（専門料理店を除く）"/>
        <s v="一般乗用旅客自動車運送業"/>
        <s v="じゅう器小売業"/>
        <s v="農畜産物・水産物卸売業"/>
        <s v="その他の娯楽業"/>
        <s v="旅館，ホテル"/>
        <s v="自動車・同附属品製造業"/>
        <s v="金属加工機械製造業"/>
        <s v="スポーツ用品・がん具・娯楽用品・楽器小売業"/>
        <s v="板金・金物工事業"/>
        <s v="建築材料卸売業"/>
        <s v="野菜・果実小売業"/>
        <s v="鮮魚小売業"/>
        <s v="通信販売・訪問販売小売業"/>
        <s v="工業用プラスチック製品製造業"/>
        <s v="建物サービス業"/>
        <s v="他に分類されない製造業"/>
        <s v="配達飲食サービス業"/>
        <s v="酒小売業"/>
        <s v="一般貨物自動車運送業"/>
        <s v="各種食料品小売業"/>
        <s v="その他の宿泊業"/>
        <s v="そば・うどん店"/>
        <s v="骨材・石工品等製造業"/>
        <s v="採石業，砂・砂利・玉石採取業"/>
        <s v="すし店"/>
        <s v="パン・菓子製造業"/>
        <s v="製糸業，紡績業，化学繊維・ねん糸等製造業"/>
        <s v="家具・建具・畳小売業"/>
        <s v="医療に附帯するサービス業"/>
      </sharedItems>
    </cacheField>
    <cacheField name="産業小分類" numFmtId="0" sqlType="-9">
      <sharedItems count="75">
        <s v="692 貸家業，貸間業"/>
        <s v="783 美容業"/>
        <s v="765 酒場，ビヤホール"/>
        <s v="762 専門料理店"/>
        <s v="824 教養・技能教授業"/>
        <s v="835 療術業"/>
        <s v="782 理容業"/>
        <s v="766 バー，キャバレー，ナイトクラブ"/>
        <s v="609 他に分類されない小売業"/>
        <s v="694 不動産管理業"/>
        <s v="589 その他の飲食料品小売業"/>
        <s v="691 不動産賃貸業（貸家業，貸間業を除く）"/>
        <s v="781 洗濯業"/>
        <s v="083 管工事業（さく井工事業を除く）"/>
        <s v="682 不動産代理業・仲介業"/>
        <s v="081 電気工事業"/>
        <s v="062 土木工事業（舗装工事業を除く）"/>
        <s v="064 建築工事業（木造建築工事業を除く）"/>
        <s v="573 婦人・子供服小売業"/>
        <s v="591 自動車小売業"/>
        <s v="066 建築リフォーム工事業"/>
        <s v="742 土木建築サービス業"/>
        <s v="603 医薬品・化粧品小売業"/>
        <s v="077 塗装工事業"/>
        <s v="833 歯科診療所"/>
        <s v="724 公認会計士事務所，税理士事務所"/>
        <s v="579 その他の織物・衣服・身の回り品小売業"/>
        <s v="586 菓子・パン小売業"/>
        <s v="391 ソフトウェア業"/>
        <s v="929 他に分類されない事業サービス業"/>
        <s v="721 法律事務所，特許事務所"/>
        <s v="767 喫茶店"/>
        <s v="729 その他の専門サービス業"/>
        <s v="151 印刷業"/>
        <s v="693 駐車場業"/>
        <s v="078 床・内装工事業"/>
        <s v="065 木造建築工事業"/>
        <s v="823 学習塾"/>
        <s v="244 建設用・建築用金属製品製造業（製缶板金業を含む）"/>
        <s v="269 その他の生産用機械・同部分品製造業"/>
        <s v="079 その他の職別工事業"/>
        <s v="891 自動車整備業"/>
        <s v="071 大工工事業"/>
        <s v="855 障害者福祉事業"/>
        <s v="728 経営コンサルタント業，純粋持株会社"/>
        <s v="761 食堂，レストラン（専門料理店を除く）"/>
        <s v="432 一般乗用旅客自動車運送業"/>
        <s v="602 じゅう器小売業"/>
        <s v="521 農畜産物・水産物卸売業"/>
        <s v="809 その他の娯楽業"/>
        <s v="751 旅館，ホテル"/>
        <s v="311 自動車・同附属品製造業"/>
        <s v="266 金属加工機械製造業"/>
        <s v="607 スポーツ用品・がん具・娯楽用品・楽器小売業"/>
        <s v="076 板金・金物工事業"/>
        <s v="531 建築材料卸売業"/>
        <s v="582 野菜・果実小売業"/>
        <s v="584 鮮魚小売業"/>
        <s v="611 通信販売・訪問販売小売業"/>
        <s v="183 工業用プラスチック製品製造業"/>
        <s v="922 建物サービス業"/>
        <s v="329 他に分類されない製造業"/>
        <s v="772 配達飲食サービス業"/>
        <s v="585 酒小売業"/>
        <s v="441 一般貨物自動車運送業"/>
        <s v="581 各種食料品小売業"/>
        <s v="759 その他の宿泊業"/>
        <s v="763 そば・うどん店"/>
        <s v="218 骨材・石工品等製造業"/>
        <s v="054 採石業，砂・砂利・玉石採取業"/>
        <s v="764 すし店"/>
        <s v="097 パン・菓子製造業"/>
        <s v="111 製糸業，紡績業，化学繊維・ねん糸等製造業"/>
        <s v="601 家具・建具・畳小売業"/>
        <s v="836 医療に附帯する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2" maxValue="11146" count="290">
        <n v="11146"/>
        <n v="7093"/>
        <n v="4964"/>
        <n v="4611"/>
        <n v="4128"/>
        <n v="4085"/>
        <n v="4074"/>
        <n v="3864"/>
        <n v="3738"/>
        <n v="3227"/>
        <n v="2746"/>
        <n v="2660"/>
        <n v="2625"/>
        <n v="2582"/>
        <n v="2536"/>
        <n v="2385"/>
        <n v="2236"/>
        <n v="2190"/>
        <n v="2060"/>
        <n v="2045"/>
        <n v="3780"/>
        <n v="2509"/>
        <n v="1728"/>
        <n v="1703"/>
        <n v="1506"/>
        <n v="1498"/>
        <n v="1443"/>
        <n v="1430"/>
        <n v="1423"/>
        <n v="1339"/>
        <n v="1087"/>
        <n v="1051"/>
        <n v="1044"/>
        <n v="995"/>
        <n v="945"/>
        <n v="861"/>
        <n v="851"/>
        <n v="837"/>
        <n v="835"/>
        <n v="801"/>
        <n v="239"/>
        <n v="208"/>
        <n v="177"/>
        <n v="151"/>
        <n v="143"/>
        <n v="133"/>
        <n v="126"/>
        <n v="115"/>
        <n v="112"/>
        <n v="104"/>
        <n v="99"/>
        <n v="97"/>
        <n v="88"/>
        <n v="86"/>
        <n v="69"/>
        <n v="66"/>
        <n v="62"/>
        <n v="59"/>
        <n v="54"/>
        <n v="53"/>
        <n v="455"/>
        <n v="155"/>
        <n v="134"/>
        <n v="111"/>
        <n v="108"/>
        <n v="100"/>
        <n v="96"/>
        <n v="87"/>
        <n v="78"/>
        <n v="77"/>
        <n v="72"/>
        <n v="67"/>
        <n v="63"/>
        <n v="56"/>
        <n v="55"/>
        <n v="175"/>
        <n v="122"/>
        <n v="110"/>
        <n v="102"/>
        <n v="92"/>
        <n v="90"/>
        <n v="76"/>
        <n v="75"/>
        <n v="73"/>
        <n v="68"/>
        <n v="52"/>
        <n v="47"/>
        <n v="44"/>
        <n v="43"/>
        <n v="381"/>
        <n v="371"/>
        <n v="318"/>
        <n v="275"/>
        <n v="224"/>
        <n v="222"/>
        <n v="190"/>
        <n v="187"/>
        <n v="170"/>
        <n v="163"/>
        <n v="156"/>
        <n v="144"/>
        <n v="128"/>
        <n v="114"/>
        <n v="103"/>
        <n v="91"/>
        <n v="219"/>
        <n v="176"/>
        <n v="125"/>
        <n v="106"/>
        <n v="64"/>
        <n v="58"/>
        <n v="51"/>
        <n v="50"/>
        <n v="49"/>
        <n v="48"/>
        <n v="218"/>
        <n v="140"/>
        <n v="85"/>
        <n v="84"/>
        <n v="70"/>
        <n v="61"/>
        <n v="60"/>
        <n v="45"/>
        <n v="42"/>
        <n v="40"/>
        <n v="37"/>
        <n v="135"/>
        <n v="107"/>
        <n v="46"/>
        <n v="39"/>
        <n v="38"/>
        <n v="35"/>
        <n v="34"/>
        <n v="31"/>
        <n v="29"/>
        <n v="234"/>
        <n v="142"/>
        <n v="57"/>
        <n v="33"/>
        <n v="620"/>
        <n v="199"/>
        <n v="164"/>
        <n v="150"/>
        <n v="137"/>
        <n v="136"/>
        <n v="130"/>
        <n v="124"/>
        <n v="105"/>
        <n v="80"/>
        <n v="71"/>
        <n v="154"/>
        <n v="98"/>
        <n v="74"/>
        <n v="322"/>
        <n v="171"/>
        <n v="109"/>
        <n v="89"/>
        <n v="83"/>
        <n v="146"/>
        <n v="79"/>
        <n v="36"/>
        <n v="30"/>
        <n v="28"/>
        <n v="32"/>
        <n v="27"/>
        <n v="24"/>
        <n v="23"/>
        <n v="22"/>
        <n v="21"/>
        <n v="20"/>
        <n v="19"/>
        <n v="16"/>
        <n v="82"/>
        <n v="41"/>
        <n v="186"/>
        <n v="161"/>
        <n v="141"/>
        <n v="65"/>
        <n v="123"/>
        <n v="1562"/>
        <n v="899"/>
        <n v="849"/>
        <n v="703"/>
        <n v="575"/>
        <n v="562"/>
        <n v="526"/>
        <n v="495"/>
        <n v="462"/>
        <n v="440"/>
        <n v="424"/>
        <n v="423"/>
        <n v="410"/>
        <n v="373"/>
        <n v="342"/>
        <n v="289"/>
        <n v="285"/>
        <n v="265"/>
        <n v="258"/>
        <n v="244"/>
        <n v="297"/>
        <n v="188"/>
        <n v="139"/>
        <n v="81"/>
        <n v="169"/>
        <n v="95"/>
        <n v="228"/>
        <n v="180"/>
        <n v="178"/>
        <n v="93"/>
        <n v="313"/>
        <n v="113"/>
        <n v="240"/>
        <n v="121"/>
        <n v="101"/>
        <n v="147"/>
        <n v="727"/>
        <n v="618"/>
        <n v="453"/>
        <n v="411"/>
        <n v="395"/>
        <n v="369"/>
        <n v="330"/>
        <n v="241"/>
        <n v="221"/>
        <n v="214"/>
        <n v="210"/>
        <n v="201"/>
        <n v="194"/>
        <n v="184"/>
        <n v="183"/>
        <n v="117"/>
        <n v="192"/>
        <n v="173"/>
        <n v="159"/>
        <n v="384"/>
        <n v="233"/>
        <n v="148"/>
        <n v="119"/>
        <n v="118"/>
        <n v="94"/>
        <n v="479"/>
        <n v="390"/>
        <n v="389"/>
        <n v="246"/>
        <n v="232"/>
        <n v="215"/>
        <n v="203"/>
        <n v="145"/>
        <n v="127"/>
        <n v="452"/>
        <n v="243"/>
        <n v="196"/>
        <n v="160"/>
        <n v="129"/>
        <n v="311"/>
        <n v="185"/>
        <n v="149"/>
        <n v="466"/>
        <n v="379"/>
        <n v="237"/>
        <n v="231"/>
        <n v="206"/>
        <n v="181"/>
        <n v="172"/>
        <n v="157"/>
        <n v="116"/>
        <n v="216"/>
        <n v="26"/>
        <n v="25"/>
        <n v="18"/>
        <n v="17"/>
        <n v="15"/>
        <n v="499"/>
        <n v="120"/>
        <n v="387"/>
        <n v="182"/>
        <n v="374"/>
        <n v="13"/>
        <n v="12"/>
        <n v="14"/>
        <n v="11"/>
        <n v="10"/>
        <n v="9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0.92" maxValue="17.760000000000002" count="356">
        <n v="6.91"/>
        <n v="4.4000000000000004"/>
        <n v="3.08"/>
        <n v="2.86"/>
        <n v="2.56"/>
        <n v="2.5299999999999998"/>
        <n v="2.4"/>
        <n v="2.3199999999999998"/>
        <n v="2"/>
        <n v="1.7"/>
        <n v="1.65"/>
        <n v="1.63"/>
        <n v="1.6"/>
        <n v="1.57"/>
        <n v="1.48"/>
        <n v="1.39"/>
        <n v="1.36"/>
        <n v="1.28"/>
        <n v="1.27"/>
        <n v="6.2"/>
        <n v="4.1100000000000003"/>
        <n v="2.83"/>
        <n v="2.79"/>
        <n v="2.4700000000000002"/>
        <n v="2.46"/>
        <n v="2.37"/>
        <n v="2.34"/>
        <n v="2.33"/>
        <n v="2.2000000000000002"/>
        <n v="1.78"/>
        <n v="1.72"/>
        <n v="1.71"/>
        <n v="1.55"/>
        <n v="1.41"/>
        <n v="1.4"/>
        <n v="1.37"/>
        <n v="1.31"/>
        <n v="4.7699999999999996"/>
        <n v="4.1500000000000004"/>
        <n v="3.53"/>
        <n v="3.01"/>
        <n v="2.85"/>
        <n v="2.65"/>
        <n v="2.5099999999999998"/>
        <n v="2.29"/>
        <n v="2.23"/>
        <n v="2.0699999999999998"/>
        <n v="1.97"/>
        <n v="1.93"/>
        <n v="1.75"/>
        <n v="1.38"/>
        <n v="1.32"/>
        <n v="1.24"/>
        <n v="1.18"/>
        <n v="1.08"/>
        <n v="1.06"/>
        <n v="10.029999999999999"/>
        <n v="3.9"/>
        <n v="3.42"/>
        <n v="2.95"/>
        <n v="2.4500000000000002"/>
        <n v="2.38"/>
        <n v="2.14"/>
        <n v="2.12"/>
        <n v="1.92"/>
        <n v="1.59"/>
        <n v="1.3"/>
        <n v="1.23"/>
        <n v="1.21"/>
        <n v="5.22"/>
        <n v="3.64"/>
        <n v="3.28"/>
        <n v="3.04"/>
        <n v="2.74"/>
        <n v="2.68"/>
        <n v="2.27"/>
        <n v="2.2400000000000002"/>
        <n v="2.1800000000000002"/>
        <n v="2.15"/>
        <n v="2.0299999999999998"/>
        <n v="5.37"/>
        <n v="5.23"/>
        <n v="4.49"/>
        <n v="3.88"/>
        <n v="3.16"/>
        <n v="3.13"/>
        <n v="2.64"/>
        <n v="2.2999999999999998"/>
        <n v="1.81"/>
        <n v="1.61"/>
        <n v="1.45"/>
        <n v="1.44"/>
        <n v="1.35"/>
        <n v="6.29"/>
        <n v="5.0599999999999996"/>
        <n v="3.82"/>
        <n v="3.59"/>
        <n v="3.05"/>
        <n v="2.21"/>
        <n v="1.84"/>
        <n v="1.67"/>
        <n v="1.49"/>
        <n v="1.47"/>
        <n v="7.55"/>
        <n v="4.8499999999999996"/>
        <n v="2.94"/>
        <n v="2.91"/>
        <n v="2.63"/>
        <n v="2.6"/>
        <n v="2.42"/>
        <n v="2.11"/>
        <n v="2.08"/>
        <n v="2.0099999999999998"/>
        <n v="1.94"/>
        <n v="1.83"/>
        <n v="1.8"/>
        <n v="1.56"/>
        <n v="5.95"/>
        <n v="4.72"/>
        <n v="4.05"/>
        <n v="3.39"/>
        <n v="2.78"/>
        <n v="2.69"/>
        <n v="1.9"/>
        <n v="1.54"/>
        <n v="1.5"/>
        <n v="9.1"/>
        <n v="5.52"/>
        <n v="2.99"/>
        <n v="2.72"/>
        <n v="2.61"/>
        <n v="2.4900000000000002"/>
        <n v="2.2200000000000002"/>
        <n v="2.06"/>
        <n v="1.98"/>
        <n v="1.52"/>
        <n v="10.34"/>
        <n v="3.32"/>
        <n v="2.73"/>
        <n v="2.5"/>
        <n v="2.2799999999999998"/>
        <n v="2.17"/>
        <n v="1.77"/>
        <n v="1.33"/>
        <n v="1.2"/>
        <n v="5.1100000000000003"/>
        <n v="3.25"/>
        <n v="3.18"/>
        <n v="3.02"/>
        <n v="2.25"/>
        <n v="2.19"/>
        <n v="1.99"/>
        <n v="1.89"/>
        <n v="1.86"/>
        <n v="1.82"/>
        <n v="9.99"/>
        <n v="5.3"/>
        <n v="3.38"/>
        <n v="2.82"/>
        <n v="2.76"/>
        <n v="2.67"/>
        <n v="2.57"/>
        <n v="2.36"/>
        <n v="4.96"/>
        <n v="4.58"/>
        <n v="2.04"/>
        <n v="1.53"/>
        <n v="1.46"/>
        <n v="4.7"/>
        <n v="3.51"/>
        <n v="2.84"/>
        <n v="2.4300000000000002"/>
        <n v="1.96"/>
        <n v="1.91"/>
        <n v="1.76"/>
        <n v="7.37"/>
        <n v="4.16"/>
        <n v="3.48"/>
        <n v="2.58"/>
        <n v="2.2599999999999998"/>
        <n v="2.0499999999999998"/>
        <n v="1.69"/>
        <n v="1.58"/>
        <n v="1.42"/>
        <n v="7.31"/>
        <n v="4.87"/>
        <n v="3"/>
        <n v="2.52"/>
        <n v="1.95"/>
        <n v="1.87"/>
        <n v="1.79"/>
        <n v="1.62"/>
        <n v="3.87"/>
        <n v="3.31"/>
        <n v="2.31"/>
        <n v="1.51"/>
        <n v="4.92"/>
        <n v="4.5199999999999996"/>
        <n v="4.26"/>
        <n v="4.07"/>
        <n v="3.73"/>
        <n v="2.75"/>
        <n v="2.09"/>
        <n v="1.43"/>
        <n v="3.47"/>
        <n v="2.81"/>
        <n v="1.73"/>
        <n v="1.29"/>
        <n v="6.96"/>
        <n v="4"/>
        <n v="3.78"/>
        <n v="1.88"/>
        <n v="1.66"/>
        <n v="1.1499999999999999"/>
        <n v="1.0900000000000001"/>
        <n v="6.16"/>
        <n v="5.35"/>
        <n v="3.17"/>
        <n v="2.54"/>
        <n v="1.22"/>
        <n v="1.19"/>
        <n v="6.37"/>
        <n v="4.03"/>
        <n v="3.58"/>
        <n v="3.21"/>
        <n v="1.85"/>
        <n v="5.84"/>
        <n v="4.6100000000000003"/>
        <n v="4.5599999999999996"/>
        <n v="4.12"/>
        <n v="1.25"/>
        <n v="1.1299999999999999"/>
        <n v="0.92"/>
        <n v="9.4600000000000009"/>
        <n v="3.45"/>
        <n v="1.03"/>
        <n v="8.41"/>
        <n v="4.8"/>
        <n v="4.24"/>
        <n v="3.54"/>
        <n v="2.77"/>
        <n v="2.35"/>
        <n v="6.35"/>
        <n v="4.0199999999999996"/>
        <n v="3.71"/>
        <n v="2.16"/>
        <n v="1.68"/>
        <n v="1.34"/>
        <n v="6.6"/>
        <n v="3.7"/>
        <n v="5.49"/>
        <n v="4.66"/>
        <n v="3.1"/>
        <n v="2.98"/>
        <n v="5.67"/>
        <n v="4.3"/>
        <n v="3.33"/>
        <n v="2.71"/>
        <n v="2.39"/>
        <n v="4.62"/>
        <n v="3.79"/>
        <n v="3.14"/>
        <n v="1.74"/>
        <n v="8.2100000000000009"/>
        <n v="4.9800000000000004"/>
        <n v="3.06"/>
        <n v="6.15"/>
        <n v="5.01"/>
        <n v="5"/>
        <n v="2.93"/>
        <n v="8.17"/>
        <n v="4.3899999999999997"/>
        <n v="2.89"/>
        <n v="2.44"/>
        <n v="7.19"/>
        <n v="4.32"/>
        <n v="4.28"/>
        <n v="3.68"/>
        <n v="3.26"/>
        <n v="1.1599999999999999"/>
        <n v="6.55"/>
        <n v="5.33"/>
        <n v="2.7"/>
        <n v="1.64"/>
        <n v="5.43"/>
        <n v="3.55"/>
        <n v="2.13"/>
        <n v="9.2799999999999994"/>
        <n v="3.8"/>
        <n v="3.22"/>
        <n v="3.07"/>
        <n v="2.59"/>
        <n v="7.5"/>
        <n v="5.82"/>
        <n v="5.21"/>
        <n v="3.91"/>
        <n v="6.41"/>
        <n v="5.94"/>
        <n v="2.48"/>
        <n v="9.68"/>
        <n v="4.2300000000000004"/>
        <n v="3.61"/>
        <n v="8.9700000000000006"/>
        <n v="4.22"/>
        <n v="2.62"/>
        <n v="17.760000000000002"/>
        <n v="3.85"/>
        <n v="1.1399999999999999"/>
        <n v="8.15"/>
        <n v="3.27"/>
        <n v="9.34"/>
        <n v="5.04"/>
        <n v="2.8"/>
        <n v="14.21"/>
        <n v="11"/>
        <n v="5.42"/>
        <n v="2.96"/>
        <n v="6.04"/>
        <n v="9.36"/>
        <n v="2.5499999999999998"/>
        <n v="13.89"/>
        <n v="9.31"/>
        <n v="2.1"/>
        <n v="12.25"/>
        <n v="4.9000000000000004"/>
        <n v="4.25"/>
        <n v="4.08"/>
        <n v="3.95"/>
        <n v="3.56"/>
        <n v="15.91"/>
        <n v="5.46"/>
        <n v="4.51"/>
        <n v="16.71"/>
        <n v="9.9700000000000006"/>
        <n v="4.04"/>
        <n v="6.69"/>
        <n v="3.52"/>
        <n v="17.34"/>
        <n v="6.65"/>
        <n v="5.7"/>
        <n v="12.07"/>
        <n v="7.35"/>
        <n v="5.77"/>
        <n v="4.8600000000000003"/>
        <n v="4.59"/>
        <n v="4.2"/>
        <n v="3.41"/>
        <n v="6.51"/>
        <n v="5.12"/>
        <n v="4.6500000000000004"/>
        <n v="3.72"/>
        <n v="7.91"/>
        <n v="4.38"/>
        <n v="3.77"/>
        <n v="4.76"/>
        <n v="3.57"/>
      </sharedItems>
    </cacheField>
    <cacheField name="総数（個人）" numFmtId="0" sqlType="3">
      <sharedItems containsSemiMixedTypes="0" containsString="0" containsNumber="1" containsInteger="1" minValue="0" maxValue="8162" count="235">
        <n v="8162"/>
        <n v="5760"/>
        <n v="4406"/>
        <n v="3459"/>
        <n v="3072"/>
        <n v="3394"/>
        <n v="3664"/>
        <n v="3578"/>
        <n v="2034"/>
        <n v="194"/>
        <n v="1417"/>
        <n v="835"/>
        <n v="1434"/>
        <n v="250"/>
        <n v="236"/>
        <n v="387"/>
        <n v="260"/>
        <n v="263"/>
        <n v="806"/>
        <n v="653"/>
        <n v="2442"/>
        <n v="1974"/>
        <n v="1232"/>
        <n v="1453"/>
        <n v="1215"/>
        <n v="1024"/>
        <n v="1260"/>
        <n v="1282"/>
        <n v="715"/>
        <n v="50"/>
        <n v="88"/>
        <n v="69"/>
        <n v="511"/>
        <n v="523"/>
        <n v="187"/>
        <n v="100"/>
        <n v="184"/>
        <n v="271"/>
        <n v="113"/>
        <n v="76"/>
        <n v="134"/>
        <n v="190"/>
        <n v="148"/>
        <n v="112"/>
        <n v="128"/>
        <n v="129"/>
        <n v="84"/>
        <n v="4"/>
        <n v="86"/>
        <n v="67"/>
        <n v="81"/>
        <n v="11"/>
        <n v="55"/>
        <n v="2"/>
        <n v="6"/>
        <n v="7"/>
        <n v="17"/>
        <n v="5"/>
        <n v="14"/>
        <n v="8"/>
        <n v="361"/>
        <n v="139"/>
        <n v="120"/>
        <n v="118"/>
        <n v="63"/>
        <n v="64"/>
        <n v="77"/>
        <n v="13"/>
        <n v="39"/>
        <n v="18"/>
        <n v="62"/>
        <n v="53"/>
        <n v="28"/>
        <n v="131"/>
        <n v="38"/>
        <n v="75"/>
        <n v="57"/>
        <n v="47"/>
        <n v="3"/>
        <n v="26"/>
        <n v="15"/>
        <n v="59"/>
        <n v="40"/>
        <n v="46"/>
        <n v="9"/>
        <n v="0"/>
        <n v="330"/>
        <n v="242"/>
        <n v="252"/>
        <n v="163"/>
        <n v="97"/>
        <n v="219"/>
        <n v="137"/>
        <n v="34"/>
        <n v="27"/>
        <n v="70"/>
        <n v="10"/>
        <n v="56"/>
        <n v="154"/>
        <n v="147"/>
        <n v="99"/>
        <n v="110"/>
        <n v="95"/>
        <n v="65"/>
        <n v="167"/>
        <n v="119"/>
        <n v="79"/>
        <n v="82"/>
        <n v="16"/>
        <n v="85"/>
        <n v="83"/>
        <n v="1"/>
        <n v="44"/>
        <n v="51"/>
        <n v="48"/>
        <n v="30"/>
        <n v="21"/>
        <n v="19"/>
        <n v="189"/>
        <n v="109"/>
        <n v="32"/>
        <n v="49"/>
        <n v="25"/>
        <n v="37"/>
        <n v="36"/>
        <n v="31"/>
        <n v="12"/>
        <n v="425"/>
        <n v="153"/>
        <n v="116"/>
        <n v="24"/>
        <n v="93"/>
        <n v="87"/>
        <n v="45"/>
        <n v="74"/>
        <n v="124"/>
        <n v="68"/>
        <n v="54"/>
        <n v="33"/>
        <n v="245"/>
        <n v="132"/>
        <n v="71"/>
        <n v="29"/>
        <n v="114"/>
        <n v="61"/>
        <n v="66"/>
        <n v="22"/>
        <n v="42"/>
        <n v="104"/>
        <n v="20"/>
        <n v="105"/>
        <n v="107"/>
        <n v="35"/>
        <n v="972"/>
        <n v="810"/>
        <n v="661"/>
        <n v="526"/>
        <n v="503"/>
        <n v="420"/>
        <n v="272"/>
        <n v="322"/>
        <n v="235"/>
        <n v="389"/>
        <n v="218"/>
        <n v="276"/>
        <n v="102"/>
        <n v="41"/>
        <n v="58"/>
        <n v="136"/>
        <n v="155"/>
        <n v="191"/>
        <n v="108"/>
        <n v="80"/>
        <n v="43"/>
        <n v="600"/>
        <n v="536"/>
        <n v="373"/>
        <n v="377"/>
        <n v="370"/>
        <n v="303"/>
        <n v="256"/>
        <n v="133"/>
        <n v="223"/>
        <n v="135"/>
        <n v="172"/>
        <n v="98"/>
        <n v="78"/>
        <n v="203"/>
        <n v="182"/>
        <n v="101"/>
        <n v="197"/>
        <n v="144"/>
        <n v="60"/>
        <n v="89"/>
        <n v="393"/>
        <n v="362"/>
        <n v="299"/>
        <n v="321"/>
        <n v="214"/>
        <n v="141"/>
        <n v="208"/>
        <n v="177"/>
        <n v="160"/>
        <n v="73"/>
        <n v="372"/>
        <n v="205"/>
        <n v="176"/>
        <n v="145"/>
        <n v="234"/>
        <n v="150"/>
        <n v="72"/>
        <n v="115"/>
        <n v="103"/>
        <n v="357"/>
        <n v="304"/>
        <n v="213"/>
        <n v="171"/>
        <n v="179"/>
        <n v="94"/>
        <n v="212"/>
        <n v="117"/>
        <n v="52"/>
        <n v="312"/>
        <n v="178"/>
        <n v="125"/>
        <n v="23"/>
        <n v="394"/>
        <n v="111"/>
        <n v="317"/>
        <n v="159"/>
        <n v="168"/>
        <n v="127"/>
        <n v="347"/>
        <n v="169"/>
        <n v="123"/>
      </sharedItems>
    </cacheField>
    <cacheField name="構成比（個人）" numFmtId="0" sqlType="3">
      <sharedItems containsSemiMixedTypes="0" containsString="0" containsNumber="1" minValue="0" maxValue="29.09" count="574">
        <n v="11.15"/>
        <n v="7.87"/>
        <n v="6.02"/>
        <n v="4.7300000000000004"/>
        <n v="4.2"/>
        <n v="4.6399999999999997"/>
        <n v="5.01"/>
        <n v="4.8899999999999997"/>
        <n v="2.78"/>
        <n v="0.27"/>
        <n v="1.94"/>
        <n v="1.1399999999999999"/>
        <n v="1.96"/>
        <n v="0.34"/>
        <n v="0.32"/>
        <n v="0.53"/>
        <n v="0.36"/>
        <n v="1.1000000000000001"/>
        <n v="0.89"/>
        <n v="10.029999999999999"/>
        <n v="8.11"/>
        <n v="5.0599999999999996"/>
        <n v="5.97"/>
        <n v="4.99"/>
        <n v="4.21"/>
        <n v="5.18"/>
        <n v="5.27"/>
        <n v="2.94"/>
        <n v="0.21"/>
        <n v="0.28000000000000003"/>
        <n v="2.1"/>
        <n v="2.15"/>
        <n v="0.77"/>
        <n v="0.41"/>
        <n v="0.76"/>
        <n v="1.1100000000000001"/>
        <n v="0.46"/>
        <n v="0.31"/>
        <n v="6.33"/>
        <n v="8.9700000000000006"/>
        <n v="6.99"/>
        <n v="5.29"/>
        <n v="6.05"/>
        <n v="6.09"/>
        <n v="3.97"/>
        <n v="0.19"/>
        <n v="4.0599999999999996"/>
        <n v="3.16"/>
        <n v="3.83"/>
        <n v="0.52"/>
        <n v="2.6"/>
        <n v="0.09"/>
        <n v="0.33"/>
        <n v="0.8"/>
        <n v="0.24"/>
        <n v="0.66"/>
        <n v="0.38"/>
        <n v="17.96"/>
        <n v="6.92"/>
        <n v="5.87"/>
        <n v="3.13"/>
        <n v="0.7"/>
        <n v="3.18"/>
        <n v="4.38"/>
        <n v="4.18"/>
        <n v="0.2"/>
        <n v="0.65"/>
        <n v="0.35"/>
        <n v="0.9"/>
        <n v="3.08"/>
        <n v="0.4"/>
        <n v="2.64"/>
        <n v="1.39"/>
        <n v="11.95"/>
        <n v="0.64"/>
        <n v="3.47"/>
        <n v="6.84"/>
        <n v="5.2"/>
        <n v="4.29"/>
        <n v="5.66"/>
        <n v="2.37"/>
        <n v="1.37"/>
        <n v="5.38"/>
        <n v="3.65"/>
        <n v="0.18"/>
        <n v="0.82"/>
        <n v="0.73"/>
        <n v="0"/>
        <n v="11.55"/>
        <n v="8.4700000000000006"/>
        <n v="8.82"/>
        <n v="5.71"/>
        <n v="3.4"/>
        <n v="7.67"/>
        <n v="4.8"/>
        <n v="1.19"/>
        <n v="0.39"/>
        <n v="3.96"/>
        <n v="4.87"/>
        <n v="1.33"/>
        <n v="0.95"/>
        <n v="2.4500000000000002"/>
        <n v="1.4"/>
        <n v="9.2200000000000006"/>
        <n v="8.8000000000000007"/>
        <n v="5.92"/>
        <n v="6.58"/>
        <n v="5.69"/>
        <n v="3.89"/>
        <n v="2.99"/>
        <n v="3.77"/>
        <n v="0.42"/>
        <n v="2.0299999999999998"/>
        <n v="0.12"/>
        <n v="2.75"/>
        <n v="2.39"/>
        <n v="0.54"/>
        <n v="12.18"/>
        <n v="8.68"/>
        <n v="5.76"/>
        <n v="5.98"/>
        <n v="4.5999999999999996"/>
        <n v="2.92"/>
        <n v="4.74"/>
        <n v="0.15"/>
        <n v="2.48"/>
        <n v="0.28999999999999998"/>
        <n v="2.84"/>
        <n v="0.57999999999999996"/>
        <n v="0.51"/>
        <n v="2.77"/>
        <n v="1.17"/>
        <n v="1.24"/>
        <n v="1.9"/>
        <n v="8.6999999999999993"/>
        <n v="8.6"/>
        <n v="8.5"/>
        <n v="0.1"/>
        <n v="4.5"/>
        <n v="5.22"/>
        <n v="5.12"/>
        <n v="4.91"/>
        <n v="3.07"/>
        <n v="2.87"/>
        <n v="0.92"/>
        <n v="17.12"/>
        <n v="9.8699999999999992"/>
        <n v="6.07"/>
        <n v="5.62"/>
        <n v="2.9"/>
        <n v="4.4400000000000004"/>
        <n v="2.2599999999999998"/>
        <n v="3.35"/>
        <n v="0.45"/>
        <n v="3.26"/>
        <n v="1.27"/>
        <n v="2.81"/>
        <n v="0.72"/>
        <n v="1.0900000000000001"/>
        <n v="1.72"/>
        <n v="19.07"/>
        <n v="6.86"/>
        <n v="1.08"/>
        <n v="4.49"/>
        <n v="3.1"/>
        <n v="0.49"/>
        <n v="4.17"/>
        <n v="3.14"/>
        <n v="2.4700000000000002"/>
        <n v="3.9"/>
        <n v="2.02"/>
        <n v="0.81"/>
        <n v="0.22"/>
        <n v="3.32"/>
        <n v="1.1200000000000001"/>
        <n v="11.21"/>
        <n v="6.15"/>
        <n v="4.88"/>
        <n v="0.63"/>
        <n v="4.16"/>
        <n v="2.98"/>
        <n v="2.35"/>
        <n v="4.25"/>
        <n v="16.7"/>
        <n v="9"/>
        <n v="4.84"/>
        <n v="5.59"/>
        <n v="5.1100000000000003"/>
        <n v="5.73"/>
        <n v="3.75"/>
        <n v="2.59"/>
        <n v="0.55000000000000004"/>
        <n v="1.84"/>
        <n v="1.98"/>
        <n v="0.48"/>
        <n v="2.73"/>
        <n v="0.68"/>
        <n v="8.8800000000000008"/>
        <n v="9.1999999999999993"/>
        <n v="6.13"/>
        <n v="4.92"/>
        <n v="5.17"/>
        <n v="4.5199999999999996"/>
        <n v="5.08"/>
        <n v="0.56000000000000005"/>
        <n v="2.5"/>
        <n v="9.43"/>
        <n v="6.57"/>
        <n v="0.14000000000000001"/>
        <n v="4.8600000000000003"/>
        <n v="6"/>
        <n v="5.43"/>
        <n v="2.71"/>
        <n v="1.29"/>
        <n v="3"/>
        <n v="0.71"/>
        <n v="4.71"/>
        <n v="2"/>
        <n v="0.56999999999999995"/>
        <n v="4.1399999999999997"/>
        <n v="0.43"/>
        <n v="0.86"/>
        <n v="11.59"/>
        <n v="7.47"/>
        <n v="6.8"/>
        <n v="0.78"/>
        <n v="5.57"/>
        <n v="4.3499999999999996"/>
        <n v="3.34"/>
        <n v="3.68"/>
        <n v="0.11"/>
        <n v="2.12"/>
        <n v="0.67"/>
        <n v="10.82"/>
        <n v="7.62"/>
        <n v="6.61"/>
        <n v="5.21"/>
        <n v="0.6"/>
        <n v="3.81"/>
        <n v="1"/>
        <n v="3.21"/>
        <n v="2.2000000000000002"/>
        <n v="9.74"/>
        <n v="4.76"/>
        <n v="6.12"/>
        <n v="6.23"/>
        <n v="0.91"/>
        <n v="5.32"/>
        <n v="1.7"/>
        <n v="1.25"/>
        <n v="2.04"/>
        <n v="3.17"/>
        <n v="3.06"/>
        <n v="1.47"/>
        <n v="3.51"/>
        <n v="2.27"/>
        <n v="10.69"/>
        <n v="8.3800000000000008"/>
        <n v="1.04"/>
        <n v="0.08"/>
        <n v="8.5399999999999991"/>
        <n v="2.31"/>
        <n v="3.99"/>
        <n v="2.79"/>
        <n v="0.96"/>
        <n v="1.44"/>
        <n v="0.16"/>
        <n v="9.93"/>
        <n v="0.23"/>
        <n v="6.35"/>
        <n v="3.12"/>
        <n v="0.69"/>
        <n v="2.42"/>
        <n v="4.3899999999999997"/>
        <n v="1.85"/>
        <n v="10.31"/>
        <n v="8.59"/>
        <n v="7.01"/>
        <n v="5.58"/>
        <n v="5.34"/>
        <n v="4.46"/>
        <n v="2.89"/>
        <n v="3.42"/>
        <n v="2.4900000000000002"/>
        <n v="4.13"/>
        <n v="0.5"/>
        <n v="10.48"/>
        <n v="11.81"/>
        <n v="6.59"/>
        <n v="5.65"/>
        <n v="2.74"/>
        <n v="4.3600000000000003"/>
        <n v="0.3"/>
        <n v="1.5"/>
        <n v="1.63"/>
        <n v="1.88"/>
        <n v="7.02"/>
        <n v="7.58"/>
        <n v="6.3"/>
        <n v="3.27"/>
        <n v="3.03"/>
        <n v="4.63"/>
        <n v="2.63"/>
        <n v="2.5499999999999998"/>
        <n v="7.64"/>
        <n v="6.96"/>
        <n v="6.34"/>
        <n v="5.9"/>
        <n v="0.84"/>
        <n v="3.09"/>
        <n v="4.7699999999999996"/>
        <n v="3.93"/>
        <n v="3.54"/>
        <n v="2.7"/>
        <n v="4.55"/>
        <n v="0.17"/>
        <n v="0.62"/>
        <n v="15.18"/>
        <n v="7.95"/>
        <n v="6.44"/>
        <n v="4.8499999999999996"/>
        <n v="4.6900000000000004"/>
        <n v="5.25"/>
        <n v="3.66"/>
        <n v="1.91"/>
        <n v="0.87"/>
        <n v="1.51"/>
        <n v="10.42"/>
        <n v="8.2799999999999994"/>
        <n v="8.43"/>
        <n v="3.3"/>
        <n v="2.38"/>
        <n v="3.52"/>
        <n v="1.23"/>
        <n v="1.53"/>
        <n v="1.61"/>
        <n v="9.8000000000000007"/>
        <n v="0.37"/>
        <n v="8.4600000000000009"/>
        <n v="6.74"/>
        <n v="4.66"/>
        <n v="2.33"/>
        <n v="5.88"/>
        <n v="0.61"/>
        <n v="0.74"/>
        <n v="3.55"/>
        <n v="3.92"/>
        <n v="2.08"/>
        <n v="3.19"/>
        <n v="11.41"/>
        <n v="7.11"/>
        <n v="5.78"/>
        <n v="4.1500000000000004"/>
        <n v="5.63"/>
        <n v="3.85"/>
        <n v="2.96"/>
        <n v="0.44"/>
        <n v="3.56"/>
        <n v="1.48"/>
        <n v="1.93"/>
        <n v="9.4499999999999993"/>
        <n v="8.44"/>
        <n v="5.94"/>
        <n v="5.83"/>
        <n v="4.03"/>
        <n v="2.09"/>
        <n v="2.13"/>
        <n v="0.25"/>
        <n v="1.02"/>
        <n v="1.07"/>
        <n v="7.7"/>
        <n v="5.55"/>
        <n v="4.53"/>
        <n v="4.9800000000000004"/>
        <n v="4.42"/>
        <n v="1.81"/>
        <n v="1.64"/>
        <n v="8.0399999999999991"/>
        <n v="6.85"/>
        <n v="5.79"/>
        <n v="4.33"/>
        <n v="0.88"/>
        <n v="1.41"/>
        <n v="14.22"/>
        <n v="8.49"/>
        <n v="6.21"/>
        <n v="5"/>
        <n v="3.84"/>
        <n v="1.03"/>
        <n v="1.1599999999999999"/>
        <n v="7.53"/>
        <n v="5.0199999999999996"/>
        <n v="3.31"/>
        <n v="2.67"/>
        <n v="1.57"/>
        <n v="1.71"/>
        <n v="1.1499999999999999"/>
        <n v="1.62"/>
        <n v="0.94"/>
        <n v="13.48"/>
        <n v="7.43"/>
        <n v="6.38"/>
        <n v="5.26"/>
        <n v="2.65"/>
        <n v="10.36"/>
        <n v="5.05"/>
        <n v="6.64"/>
        <n v="5.09"/>
        <n v="4.83"/>
        <n v="2.88"/>
        <n v="4.5599999999999996"/>
        <n v="2.17"/>
        <n v="2.57"/>
        <n v="10.57"/>
        <n v="5.3"/>
        <n v="1.78"/>
        <n v="1.75"/>
        <n v="1.21"/>
        <n v="9.4700000000000006"/>
        <n v="6.03"/>
        <n v="5.23"/>
        <n v="1.83"/>
        <n v="2.3199999999999998"/>
        <n v="1.52"/>
        <n v="1.43"/>
        <n v="14.37"/>
        <n v="8.1999999999999993"/>
        <n v="4.6100000000000003"/>
        <n v="4.28"/>
        <n v="1.8"/>
        <n v="1.66"/>
        <n v="0.83"/>
        <n v="9.0299999999999994"/>
        <n v="6.29"/>
        <n v="3.87"/>
        <n v="1.1299999999999999"/>
        <n v="2.58"/>
        <n v="3.23"/>
        <n v="1.45"/>
        <n v="6.46"/>
        <n v="4.7"/>
        <n v="5.14"/>
        <n v="3.38"/>
        <n v="0.59"/>
        <n v="2.06"/>
        <n v="9.4"/>
        <n v="9.6199999999999992"/>
        <n v="6.32"/>
        <n v="4.24"/>
        <n v="4.3099999999999996"/>
        <n v="2.2999999999999998"/>
        <n v="2.23"/>
        <n v="1.36"/>
        <n v="1.79"/>
        <n v="17.739999999999998"/>
        <n v="2.52"/>
        <n v="1.67"/>
        <n v="4.37"/>
        <n v="3.24"/>
        <n v="1.26"/>
        <n v="15.52"/>
        <n v="7.78"/>
        <n v="8.2200000000000006"/>
        <n v="6.22"/>
        <n v="4.9400000000000004"/>
        <n v="4.75"/>
        <n v="4.1100000000000003"/>
        <n v="1.32"/>
        <n v="1.22"/>
        <n v="29.09"/>
        <n v="2.68"/>
        <n v="3.94"/>
        <n v="4.0199999999999996"/>
        <n v="4.1900000000000004"/>
        <n v="1.59"/>
        <n v="1.34"/>
        <n v="13.01"/>
        <n v="8.76"/>
        <n v="3.98"/>
        <n v="5.4"/>
        <n v="5.31"/>
        <n v="4.96"/>
        <n v="3.72"/>
        <n v="1.06"/>
        <n v="1.77"/>
        <n v="16"/>
        <n v="5.49"/>
        <n v="3.88"/>
        <n v="3.69"/>
        <n v="20.95"/>
        <n v="8.01"/>
        <n v="5.96"/>
        <n v="2.21"/>
        <n v="4.26"/>
        <n v="2.56"/>
        <n v="22.18"/>
        <n v="7.55"/>
        <n v="1.05"/>
        <n v="5.46"/>
        <n v="4.3"/>
        <n v="3.6"/>
        <n v="0.93"/>
        <n v="8.86"/>
        <n v="8.1199999999999992"/>
        <n v="5.54"/>
        <n v="2.95"/>
        <n v="15.19"/>
        <n v="6.36"/>
        <n v="2.83"/>
        <n v="5.48"/>
        <n v="4.59"/>
        <n v="3.53"/>
        <n v="19.559999999999999"/>
        <n v="13.77"/>
        <n v="6.19"/>
        <n v="3.79"/>
        <n v="2.4"/>
        <n v="1.6"/>
        <n v="18.350000000000001"/>
        <n v="6.65"/>
        <n v="2.66"/>
        <n v="1.86"/>
        <n v="4.79"/>
        <n v="6.06"/>
        <n v="10.1"/>
        <n v="1.01"/>
        <n v="4.04"/>
        <n v="23.62"/>
        <n v="7.48"/>
        <n v="6.69"/>
        <n v="2.76"/>
        <n v="3.15"/>
        <n v="2.36"/>
        <n v="0.79"/>
        <n v="1.18"/>
        <n v="1.97"/>
        <n v="22.27"/>
        <n v="12.89"/>
        <n v="5.86"/>
        <n v="1.95"/>
        <n v="3.91"/>
        <n v="1.56"/>
        <n v="5.0999999999999996"/>
        <n v="3.82"/>
        <n v="24.91"/>
        <n v="8.42"/>
        <n v="7.72"/>
        <n v="2.11"/>
        <n v="8.52"/>
        <n v="7.21"/>
        <n v="6.56"/>
        <n v="0.98"/>
        <n v="1.31"/>
        <n v="3.28"/>
        <n v="9.3000000000000007"/>
        <n v="6.98"/>
        <n v="7.75"/>
        <n v="6.2"/>
        <n v="1.55"/>
        <n v="7.13"/>
        <n v="5.15"/>
        <n v="3.37"/>
        <n v="3.76"/>
        <n v="0.99"/>
        <n v="2.1800000000000002"/>
        <n v="6.71"/>
        <n v="1.3"/>
        <n v="5.19"/>
        <n v="2.16"/>
        <n v="3.46"/>
        <n v="1.73"/>
        <n v="7.32"/>
        <n v="9.76"/>
        <n v="2.44"/>
      </sharedItems>
    </cacheField>
    <cacheField name="総数（法人）" numFmtId="0" sqlType="3">
      <sharedItems containsSemiMixedTypes="0" containsString="0" containsNumber="1" containsInteger="1" minValue="0" maxValue="3010" count="181">
        <n v="2982"/>
        <n v="1332"/>
        <n v="557"/>
        <n v="1152"/>
        <n v="1044"/>
        <n v="690"/>
        <n v="409"/>
        <n v="285"/>
        <n v="1703"/>
        <n v="3010"/>
        <n v="1327"/>
        <n v="1821"/>
        <n v="1191"/>
        <n v="2332"/>
        <n v="2300"/>
        <n v="1997"/>
        <n v="1975"/>
        <n v="1926"/>
        <n v="1254"/>
        <n v="1392"/>
        <n v="1338"/>
        <n v="534"/>
        <n v="496"/>
        <n v="250"/>
        <n v="290"/>
        <n v="473"/>
        <n v="183"/>
        <n v="148"/>
        <n v="707"/>
        <n v="1275"/>
        <n v="999"/>
        <n v="982"/>
        <n v="533"/>
        <n v="472"/>
        <n v="756"/>
        <n v="761"/>
        <n v="667"/>
        <n v="566"/>
        <n v="722"/>
        <n v="724"/>
        <n v="105"/>
        <n v="18"/>
        <n v="29"/>
        <n v="39"/>
        <n v="15"/>
        <n v="4"/>
        <n v="42"/>
        <n v="111"/>
        <n v="26"/>
        <n v="37"/>
        <n v="86"/>
        <n v="33"/>
        <n v="83"/>
        <n v="63"/>
        <n v="59"/>
        <n v="45"/>
        <n v="54"/>
        <n v="40"/>
        <n v="94"/>
        <n v="38"/>
        <n v="35"/>
        <n v="16"/>
        <n v="48"/>
        <n v="12"/>
        <n v="20"/>
        <n v="65"/>
        <n v="69"/>
        <n v="49"/>
        <n v="5"/>
        <n v="55"/>
        <n v="52"/>
        <n v="3"/>
        <n v="27"/>
        <n v="44"/>
        <n v="115"/>
        <n v="72"/>
        <n v="87"/>
        <n v="13"/>
        <n v="70"/>
        <n v="46"/>
        <n v="57"/>
        <n v="6"/>
        <n v="28"/>
        <n v="36"/>
        <n v="43"/>
        <n v="51"/>
        <n v="129"/>
        <n v="66"/>
        <n v="112"/>
        <n v="127"/>
        <n v="150"/>
        <n v="50"/>
        <n v="136"/>
        <n v="152"/>
        <n v="90"/>
        <n v="108"/>
        <n v="62"/>
        <n v="79"/>
        <n v="34"/>
        <n v="41"/>
        <n v="7"/>
        <n v="14"/>
        <n v="25"/>
        <n v="56"/>
        <n v="47"/>
        <n v="21"/>
        <n v="8"/>
        <n v="10"/>
        <n v="17"/>
        <n v="19"/>
        <n v="24"/>
        <n v="11"/>
        <n v="23"/>
        <n v="9"/>
        <n v="75"/>
        <n v="32"/>
        <n v="30"/>
        <n v="31"/>
        <n v="195"/>
        <n v="156"/>
        <n v="61"/>
        <n v="113"/>
        <n v="92"/>
        <n v="60"/>
        <n v="53"/>
        <n v="77"/>
        <n v="2"/>
        <n v="78"/>
        <n v="73"/>
        <n v="22"/>
        <n v="0"/>
        <n v="1"/>
        <n v="64"/>
        <n v="121"/>
        <n v="88"/>
        <n v="93"/>
        <n v="590"/>
        <n v="89"/>
        <n v="188"/>
        <n v="177"/>
        <n v="545"/>
        <n v="106"/>
        <n v="223"/>
        <n v="137"/>
        <n v="205"/>
        <n v="365"/>
        <n v="351"/>
        <n v="308"/>
        <n v="253"/>
        <n v="199"/>
        <n v="222"/>
        <n v="197"/>
        <n v="97"/>
        <n v="119"/>
        <n v="71"/>
        <n v="85"/>
        <n v="122"/>
        <n v="110"/>
        <n v="104"/>
        <n v="98"/>
        <n v="58"/>
        <n v="67"/>
        <n v="82"/>
        <n v="74"/>
        <n v="196"/>
        <n v="184"/>
        <n v="178"/>
        <n v="194"/>
        <n v="180"/>
        <n v="172"/>
        <n v="142"/>
        <n v="80"/>
        <n v="68"/>
        <n v="91"/>
        <n v="100"/>
        <n v="76"/>
        <n v="109"/>
        <n v="96"/>
        <n v="102"/>
        <n v="116"/>
        <n v="81"/>
      </sharedItems>
    </cacheField>
    <cacheField name="構成比（法人）" numFmtId="0" sqlType="3">
      <sharedItems containsSemiMixedTypes="0" containsString="0" containsNumber="1" minValue="0" maxValue="19.96" count="396">
        <n v="3.39"/>
        <n v="1.52"/>
        <n v="0.63"/>
        <n v="1.31"/>
        <n v="1.19"/>
        <n v="0.79"/>
        <n v="0.47"/>
        <n v="0.32"/>
        <n v="1.94"/>
        <n v="3.42"/>
        <n v="1.51"/>
        <n v="2.0699999999999998"/>
        <n v="1.36"/>
        <n v="2.65"/>
        <n v="2.62"/>
        <n v="2.27"/>
        <n v="2.25"/>
        <n v="2.19"/>
        <n v="1.43"/>
        <n v="1.58"/>
        <n v="3.66"/>
        <n v="1.46"/>
        <n v="0.68"/>
        <n v="1.29"/>
        <n v="0.5"/>
        <n v="0.4"/>
        <n v="1.93"/>
        <n v="3.49"/>
        <n v="2.73"/>
        <n v="2.69"/>
        <n v="2.08"/>
        <n v="1.82"/>
        <n v="1.55"/>
        <n v="1.98"/>
        <n v="3.63"/>
        <n v="0.62"/>
        <n v="1"/>
        <n v="1.35"/>
        <n v="0.52"/>
        <n v="0.14000000000000001"/>
        <n v="1.45"/>
        <n v="3.84"/>
        <n v="0.9"/>
        <n v="1.28"/>
        <n v="2.98"/>
        <n v="1.1399999999999999"/>
        <n v="2.87"/>
        <n v="2.1800000000000002"/>
        <n v="2.04"/>
        <n v="1.56"/>
        <n v="1.87"/>
        <n v="1.38"/>
        <n v="3.74"/>
        <n v="1.39"/>
        <n v="0.64"/>
        <n v="1.91"/>
        <n v="1.59"/>
        <n v="0.48"/>
        <n v="3.3"/>
        <n v="2.58"/>
        <n v="2.74"/>
        <n v="1.95"/>
        <n v="0.2"/>
        <n v="0.12"/>
        <n v="1.07"/>
        <n v="5.0999999999999996"/>
        <n v="3.19"/>
        <n v="1.2"/>
        <n v="3.86"/>
        <n v="0.57999999999999996"/>
        <n v="3.11"/>
        <n v="2.5299999999999998"/>
        <n v="0.27"/>
        <n v="1.24"/>
        <n v="2"/>
        <n v="1.69"/>
        <n v="1.6"/>
        <n v="1.73"/>
        <n v="1.77"/>
        <n v="1.21"/>
        <n v="3.06"/>
        <n v="1.57"/>
        <n v="2.66"/>
        <n v="3.02"/>
        <n v="7.0000000000000007E-2"/>
        <n v="3.56"/>
        <n v="3.23"/>
        <n v="3.61"/>
        <n v="1.02"/>
        <n v="2.14"/>
        <n v="2.56"/>
        <n v="1.97"/>
        <n v="0.78"/>
        <n v="1.47"/>
        <n v="1.88"/>
        <n v="0.81"/>
        <n v="3.6"/>
        <n v="0.83"/>
        <n v="0.39"/>
        <n v="2.3199999999999998"/>
        <n v="0.77"/>
        <n v="3.15"/>
        <n v="3.1"/>
        <n v="0.66"/>
        <n v="2.6"/>
        <n v="2.4900000000000002"/>
        <n v="2.1"/>
        <n v="3.36"/>
        <n v="0.53"/>
        <n v="2.37"/>
        <n v="3.89"/>
        <n v="1.71"/>
        <n v="1.1200000000000001"/>
        <n v="1.25"/>
        <n v="2.9"/>
        <n v="2.5"/>
        <n v="2.17"/>
        <n v="2.64"/>
        <n v="0.26"/>
        <n v="1.32"/>
        <n v="0.72"/>
        <n v="1.79"/>
        <n v="0.7"/>
        <n v="5.83"/>
        <n v="1.48"/>
        <n v="0.93"/>
        <n v="0.85"/>
        <n v="0.31"/>
        <n v="3.03"/>
        <n v="2.33"/>
        <n v="2.41"/>
        <n v="0.23"/>
        <n v="3.07"/>
        <n v="0.55000000000000004"/>
        <n v="0.96"/>
        <n v="2.12"/>
        <n v="3.28"/>
        <n v="1.78"/>
        <n v="0.89"/>
        <n v="2.0499999999999998"/>
        <n v="1.64"/>
        <n v="1.3"/>
        <n v="0.82"/>
        <n v="5.18"/>
        <n v="1.22"/>
        <n v="4.1399999999999997"/>
        <n v="0.56000000000000005"/>
        <n v="2.97"/>
        <n v="0.88"/>
        <n v="1.62"/>
        <n v="3"/>
        <n v="0.35"/>
        <n v="1.33"/>
        <n v="1.99"/>
        <n v="0.16"/>
        <n v="1.67"/>
        <n v="1.75"/>
        <n v="3.41"/>
        <n v="4.83"/>
        <n v="2.15"/>
        <n v="2.78"/>
        <n v="0.84"/>
        <n v="2.89"/>
        <n v="2.83"/>
        <n v="1.63"/>
        <n v="0.42"/>
        <n v="1.84"/>
        <n v="4.38"/>
        <n v="2.2200000000000002"/>
        <n v="2.16"/>
        <n v="0.51"/>
        <n v="0.8"/>
        <n v="0.11"/>
        <n v="4.4400000000000004"/>
        <n v="2.11"/>
        <n v="3.47"/>
        <n v="3.59"/>
        <n v="1.42"/>
        <n v="0.56999999999999995"/>
        <n v="2.39"/>
        <n v="2.2799999999999998"/>
        <n v="1.53"/>
        <n v="4.3"/>
        <n v="0.18"/>
        <n v="3.12"/>
        <n v="1.65"/>
        <n v="2.77"/>
        <n v="2.36"/>
        <n v="2.2400000000000002"/>
        <n v="2.0299999999999998"/>
        <n v="3.73"/>
        <n v="0.73"/>
        <n v="4.13"/>
        <n v="1.05"/>
        <n v="3.32"/>
        <n v="1.7"/>
        <n v="2.35"/>
        <n v="2.5099999999999998"/>
        <n v="2.4300000000000002"/>
        <n v="0.41"/>
        <n v="5.29"/>
        <n v="1.1000000000000001"/>
        <n v="2.7"/>
        <n v="2.2000000000000002"/>
        <n v="4.92"/>
        <n v="1.37"/>
        <n v="3.55"/>
        <n v="0"/>
        <n v="3.25"/>
        <n v="0.65"/>
        <n v="3.81"/>
        <n v="3.08"/>
        <n v="2.44"/>
        <n v="3.33"/>
        <n v="0.97"/>
        <n v="0.08"/>
        <n v="2.02"/>
        <n v="5.88"/>
        <n v="6.03"/>
        <n v="2.2599999999999998"/>
        <n v="0.67"/>
        <n v="1.83"/>
        <n v="2.54"/>
        <n v="2.42"/>
        <n v="3.18"/>
        <n v="3.37"/>
        <n v="0.69"/>
        <n v="0.36"/>
        <n v="1.41"/>
        <n v="1.34"/>
        <n v="4.53"/>
        <n v="1.44"/>
        <n v="4.1900000000000004"/>
        <n v="0.45"/>
        <n v="2.81"/>
        <n v="0.13"/>
        <n v="0.28000000000000003"/>
        <n v="1.9"/>
        <n v="3.71"/>
        <n v="0.44"/>
        <n v="2.21"/>
        <n v="2.06"/>
        <n v="1.03"/>
        <n v="4.43"/>
        <n v="0.43"/>
        <n v="1.5"/>
        <n v="3.51"/>
        <n v="2.93"/>
        <n v="0.21"/>
        <n v="1.86"/>
        <n v="4.33"/>
        <n v="1.08"/>
        <n v="0.38"/>
        <n v="4"/>
        <n v="0.05"/>
        <n v="2.31"/>
        <n v="5.96"/>
        <n v="5.37"/>
        <n v="1.27"/>
        <n v="1.76"/>
        <n v="1.66"/>
        <n v="1.81"/>
        <n v="1.17"/>
        <n v="6.72"/>
        <n v="0.71"/>
        <n v="6.33"/>
        <n v="1.23"/>
        <n v="1.49"/>
        <n v="3.75"/>
        <n v="2.46"/>
        <n v="1.68"/>
        <n v="4.47"/>
        <n v="6"/>
        <n v="1.1299999999999999"/>
        <n v="0.6"/>
        <n v="3.13"/>
        <n v="2.67"/>
        <n v="0.87"/>
        <n v="2.4"/>
        <n v="2.4700000000000002"/>
        <n v="3.88"/>
        <n v="0.76"/>
        <n v="1.18"/>
        <n v="0.25"/>
        <n v="3.04"/>
        <n v="1.85"/>
        <n v="0.49"/>
        <n v="1.61"/>
        <n v="2.84"/>
        <n v="2.82"/>
        <n v="2.61"/>
        <n v="0.86"/>
        <n v="0.98"/>
        <n v="3.96"/>
        <n v="0.34"/>
        <n v="1.1100000000000001"/>
        <n v="0.61"/>
        <n v="2.68"/>
        <n v="2.86"/>
        <n v="2.29"/>
        <n v="1.4"/>
        <n v="3.31"/>
        <n v="3.7"/>
        <n v="0.04"/>
        <n v="3.27"/>
        <n v="2.34"/>
        <n v="2.4500000000000002"/>
        <n v="0.91"/>
        <n v="2.59"/>
        <n v="2.85"/>
        <n v="2.13"/>
        <n v="0.28999999999999998"/>
        <n v="0.54"/>
        <n v="1.92"/>
        <n v="2.71"/>
        <n v="2.75"/>
        <n v="2.57"/>
        <n v="3.54"/>
        <n v="1.26"/>
        <n v="4.41"/>
        <n v="1.1599999999999999"/>
        <n v="2.23"/>
        <n v="2.92"/>
        <n v="2.0099999999999998"/>
        <n v="0.94"/>
        <n v="3.46"/>
        <n v="2.95"/>
        <n v="0.46"/>
        <n v="3.76"/>
        <n v="1.74"/>
        <n v="2.48"/>
        <n v="3.17"/>
        <n v="3.45"/>
        <n v="2.72"/>
        <n v="3.91"/>
        <n v="0.59"/>
        <n v="2.5499999999999998"/>
        <n v="6.81"/>
        <n v="1.06"/>
        <n v="4.04"/>
        <n v="1.04"/>
        <n v="0.74"/>
        <n v="3.97"/>
        <n v="0.99"/>
        <n v="2.63"/>
        <n v="4.25"/>
        <n v="2.88"/>
        <n v="2.96"/>
        <n v="1.54"/>
        <n v="0.33"/>
        <n v="3.68"/>
        <n v="1.8"/>
        <n v="5.08"/>
        <n v="0.95"/>
        <n v="8.73"/>
        <n v="5.07"/>
        <n v="4.2300000000000004"/>
        <n v="4.87"/>
        <n v="4.3499999999999996"/>
        <n v="3.21"/>
        <n v="3.85"/>
        <n v="5.33"/>
        <n v="0.3"/>
        <n v="0.75"/>
        <n v="3.38"/>
        <n v="1.1499999999999999"/>
        <n v="4.62"/>
        <n v="3.83"/>
        <n v="4.68"/>
        <n v="4.55"/>
        <n v="5.84"/>
        <n v="3.9"/>
        <n v="4.22"/>
        <n v="6.02"/>
        <n v="3.48"/>
        <n v="5.22"/>
        <n v="14.4"/>
        <n v="3.2"/>
        <n v="2.94"/>
        <n v="11.03"/>
        <n v="19.96"/>
        <n v="6.65"/>
        <n v="4.88"/>
        <n v="7.98"/>
        <n v="0.22"/>
        <n v="12.79"/>
        <n v="6.98"/>
        <n v="4.6500000000000004"/>
        <n v="1.89"/>
        <n v="4.42"/>
        <n v="3.79"/>
        <n v="2.52"/>
        <n v="4.49"/>
        <n v="4.76"/>
        <n v="2.38"/>
        <n v="7.14"/>
      </sharedItems>
    </cacheField>
    <cacheField name="総数（法人以外の団体）" numFmtId="0" sqlType="3">
      <sharedItems containsSemiMixedTypes="0" containsString="0" containsNumber="1" containsInteger="1" minValue="0" maxValue="23" count="10">
        <n v="2"/>
        <n v="1"/>
        <n v="0"/>
        <n v="12"/>
        <n v="23"/>
        <n v="4"/>
        <n v="14"/>
        <n v="6"/>
        <n v="7"/>
        <n v="3"/>
      </sharedItems>
    </cacheField>
    <cacheField name="構成比（法人以外の団体）" numFmtId="0" sqlType="3">
      <sharedItems containsString="0" containsBlank="1" containsNumber="1" minValue="0" maxValue="77.78" count="28">
        <n v="0.96"/>
        <n v="0.48"/>
        <n v="0"/>
        <n v="5.74"/>
        <n v="11"/>
        <n v="1.91"/>
        <n v="1.08"/>
        <n v="15.05"/>
        <n v="2.15"/>
        <n v="12.5"/>
        <n v="8.33"/>
        <n v="50"/>
        <n v="4.55"/>
        <n v="27.27"/>
        <m/>
        <n v="20"/>
        <n v="33.33"/>
        <n v="77.78"/>
        <n v="10"/>
        <n v="25"/>
        <n v="6.25"/>
        <n v="18.75"/>
        <n v="15.38"/>
        <n v="7.69"/>
        <n v="14.29"/>
        <n v="11.11"/>
        <n v="60"/>
        <n v="16.670000000000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0">
  <r>
    <s v="ti.14000"/>
    <x v="0"/>
    <x v="0"/>
    <x v="0"/>
    <s v="神奈川県"/>
    <x v="0"/>
    <x v="0"/>
    <x v="0"/>
    <x v="0"/>
    <x v="0"/>
    <n v="9"/>
    <n v="0.01"/>
    <n v="0"/>
    <n v="0"/>
    <n v="9"/>
    <n v="0.01"/>
    <x v="0"/>
    <n v="0"/>
  </r>
  <r>
    <s v="ti.14000"/>
    <x v="0"/>
    <x v="0"/>
    <x v="0"/>
    <s v="神奈川県"/>
    <x v="0"/>
    <x v="1"/>
    <x v="1"/>
    <x v="1"/>
    <x v="1"/>
    <n v="22802"/>
    <n v="14.14"/>
    <n v="4252"/>
    <n v="5.81"/>
    <n v="18546"/>
    <n v="21.1"/>
    <x v="1"/>
    <n v="1.91"/>
  </r>
  <r>
    <s v="ti.14000"/>
    <x v="0"/>
    <x v="0"/>
    <x v="0"/>
    <s v="神奈川県"/>
    <x v="0"/>
    <x v="2"/>
    <x v="2"/>
    <x v="2"/>
    <x v="2"/>
    <n v="12097"/>
    <n v="7.5"/>
    <n v="2434"/>
    <n v="3.33"/>
    <n v="9660"/>
    <n v="10.99"/>
    <x v="2"/>
    <n v="1.44"/>
  </r>
  <r>
    <s v="ti.14000"/>
    <x v="0"/>
    <x v="0"/>
    <x v="0"/>
    <s v="神奈川県"/>
    <x v="0"/>
    <x v="3"/>
    <x v="3"/>
    <x v="3"/>
    <x v="3"/>
    <n v="20"/>
    <n v="0.01"/>
    <n v="0"/>
    <n v="0"/>
    <n v="20"/>
    <n v="0.02"/>
    <x v="0"/>
    <n v="0"/>
  </r>
  <r>
    <s v="ti.14000"/>
    <x v="0"/>
    <x v="0"/>
    <x v="0"/>
    <s v="神奈川県"/>
    <x v="0"/>
    <x v="4"/>
    <x v="4"/>
    <x v="4"/>
    <x v="4"/>
    <n v="1978"/>
    <n v="1.23"/>
    <n v="78"/>
    <n v="0.11"/>
    <n v="1888"/>
    <n v="2.15"/>
    <x v="3"/>
    <n v="5.74"/>
  </r>
  <r>
    <s v="ti.14000"/>
    <x v="0"/>
    <x v="0"/>
    <x v="0"/>
    <s v="神奈川県"/>
    <x v="0"/>
    <x v="5"/>
    <x v="5"/>
    <x v="5"/>
    <x v="5"/>
    <n v="1974"/>
    <n v="1.22"/>
    <n v="576"/>
    <n v="0.79"/>
    <n v="1393"/>
    <n v="1.58"/>
    <x v="4"/>
    <n v="2.39"/>
  </r>
  <r>
    <s v="ti.14000"/>
    <x v="0"/>
    <x v="0"/>
    <x v="0"/>
    <s v="神奈川県"/>
    <x v="0"/>
    <x v="6"/>
    <x v="6"/>
    <x v="6"/>
    <x v="6"/>
    <n v="33662"/>
    <n v="20.87"/>
    <n v="12440"/>
    <n v="17"/>
    <n v="21198"/>
    <n v="24.12"/>
    <x v="5"/>
    <n v="11.48"/>
  </r>
  <r>
    <s v="ti.14000"/>
    <x v="0"/>
    <x v="0"/>
    <x v="0"/>
    <s v="神奈川県"/>
    <x v="0"/>
    <x v="7"/>
    <x v="7"/>
    <x v="7"/>
    <x v="7"/>
    <n v="941"/>
    <n v="0.57999999999999996"/>
    <n v="109"/>
    <n v="0.15"/>
    <n v="832"/>
    <n v="0.95"/>
    <x v="0"/>
    <n v="0"/>
  </r>
  <r>
    <s v="ti.14000"/>
    <x v="0"/>
    <x v="0"/>
    <x v="0"/>
    <s v="神奈川県"/>
    <x v="0"/>
    <x v="8"/>
    <x v="8"/>
    <x v="8"/>
    <x v="8"/>
    <n v="22512"/>
    <n v="13.96"/>
    <n v="10746"/>
    <n v="14.69"/>
    <n v="11734"/>
    <n v="13.35"/>
    <x v="6"/>
    <n v="15.31"/>
  </r>
  <r>
    <s v="ti.14000"/>
    <x v="0"/>
    <x v="0"/>
    <x v="0"/>
    <s v="神奈川県"/>
    <x v="0"/>
    <x v="9"/>
    <x v="9"/>
    <x v="9"/>
    <x v="9"/>
    <n v="8742"/>
    <n v="5.42"/>
    <n v="3895"/>
    <n v="5.32"/>
    <n v="4840"/>
    <n v="5.51"/>
    <x v="7"/>
    <n v="3.35"/>
  </r>
  <r>
    <s v="ti.14000"/>
    <x v="0"/>
    <x v="0"/>
    <x v="0"/>
    <s v="神奈川県"/>
    <x v="0"/>
    <x v="10"/>
    <x v="10"/>
    <x v="10"/>
    <x v="10"/>
    <n v="19592"/>
    <n v="12.15"/>
    <n v="15092"/>
    <n v="20.62"/>
    <n v="4487"/>
    <n v="5.1100000000000003"/>
    <x v="8"/>
    <n v="6.22"/>
  </r>
  <r>
    <s v="ti.14000"/>
    <x v="0"/>
    <x v="0"/>
    <x v="0"/>
    <s v="神奈川県"/>
    <x v="0"/>
    <x v="11"/>
    <x v="11"/>
    <x v="11"/>
    <x v="11"/>
    <n v="18020"/>
    <n v="11.17"/>
    <n v="12844"/>
    <n v="17.55"/>
    <n v="5167"/>
    <n v="5.88"/>
    <x v="9"/>
    <n v="4.3099999999999996"/>
  </r>
  <r>
    <s v="ti.14000"/>
    <x v="0"/>
    <x v="0"/>
    <x v="0"/>
    <s v="神奈川県"/>
    <x v="0"/>
    <x v="12"/>
    <x v="12"/>
    <x v="12"/>
    <x v="12"/>
    <n v="6076"/>
    <n v="3.77"/>
    <n v="4168"/>
    <n v="5.7"/>
    <n v="1890"/>
    <n v="2.15"/>
    <x v="10"/>
    <n v="8.61"/>
  </r>
  <r>
    <s v="ti.14000"/>
    <x v="0"/>
    <x v="0"/>
    <x v="0"/>
    <s v="神奈川県"/>
    <x v="0"/>
    <x v="13"/>
    <x v="13"/>
    <x v="13"/>
    <x v="13"/>
    <n v="7967"/>
    <n v="4.9400000000000004"/>
    <n v="5335"/>
    <n v="7.29"/>
    <n v="2589"/>
    <n v="2.95"/>
    <x v="11"/>
    <n v="20.57"/>
  </r>
  <r>
    <s v="ti.14000"/>
    <x v="0"/>
    <x v="0"/>
    <x v="0"/>
    <s v="神奈川県"/>
    <x v="0"/>
    <x v="14"/>
    <x v="14"/>
    <x v="14"/>
    <x v="14"/>
    <n v="4885"/>
    <n v="3.03"/>
    <n v="1207"/>
    <n v="1.65"/>
    <n v="3639"/>
    <n v="4.1399999999999997"/>
    <x v="12"/>
    <n v="18.66"/>
  </r>
  <r>
    <s v="ti.14100"/>
    <x v="0"/>
    <x v="0"/>
    <x v="1"/>
    <s v="横浜市"/>
    <x v="1"/>
    <x v="0"/>
    <x v="0"/>
    <x v="0"/>
    <x v="0"/>
    <n v="0"/>
    <n v="0"/>
    <n v="0"/>
    <n v="0"/>
    <n v="0"/>
    <n v="0"/>
    <x v="0"/>
    <n v="0"/>
  </r>
  <r>
    <s v="ti.14100"/>
    <x v="0"/>
    <x v="0"/>
    <x v="1"/>
    <s v="横浜市"/>
    <x v="1"/>
    <x v="1"/>
    <x v="1"/>
    <x v="1"/>
    <x v="1"/>
    <n v="8428"/>
    <n v="13.82"/>
    <n v="1156"/>
    <n v="4.75"/>
    <n v="7270"/>
    <n v="19.89"/>
    <x v="13"/>
    <n v="2.15"/>
  </r>
  <r>
    <s v="ti.14100"/>
    <x v="0"/>
    <x v="0"/>
    <x v="1"/>
    <s v="横浜市"/>
    <x v="1"/>
    <x v="2"/>
    <x v="2"/>
    <x v="2"/>
    <x v="2"/>
    <n v="4280"/>
    <n v="7.02"/>
    <n v="691"/>
    <n v="2.84"/>
    <n v="3588"/>
    <n v="9.82"/>
    <x v="14"/>
    <n v="1.08"/>
  </r>
  <r>
    <s v="ti.14100"/>
    <x v="0"/>
    <x v="0"/>
    <x v="1"/>
    <s v="横浜市"/>
    <x v="1"/>
    <x v="3"/>
    <x v="3"/>
    <x v="3"/>
    <x v="3"/>
    <n v="9"/>
    <n v="0.01"/>
    <n v="0"/>
    <n v="0"/>
    <n v="9"/>
    <n v="0.02"/>
    <x v="0"/>
    <n v="0"/>
  </r>
  <r>
    <s v="ti.14100"/>
    <x v="0"/>
    <x v="0"/>
    <x v="1"/>
    <s v="横浜市"/>
    <x v="1"/>
    <x v="4"/>
    <x v="4"/>
    <x v="4"/>
    <x v="4"/>
    <n v="958"/>
    <n v="1.57"/>
    <n v="33"/>
    <n v="0.14000000000000001"/>
    <n v="919"/>
    <n v="2.5099999999999998"/>
    <x v="15"/>
    <n v="6.45"/>
  </r>
  <r>
    <s v="ti.14100"/>
    <x v="0"/>
    <x v="0"/>
    <x v="1"/>
    <s v="横浜市"/>
    <x v="1"/>
    <x v="5"/>
    <x v="5"/>
    <x v="5"/>
    <x v="5"/>
    <n v="852"/>
    <n v="1.4"/>
    <n v="208"/>
    <n v="0.85"/>
    <n v="642"/>
    <n v="1.76"/>
    <x v="13"/>
    <n v="2.15"/>
  </r>
  <r>
    <s v="ti.14100"/>
    <x v="0"/>
    <x v="0"/>
    <x v="1"/>
    <s v="横浜市"/>
    <x v="1"/>
    <x v="6"/>
    <x v="6"/>
    <x v="6"/>
    <x v="6"/>
    <n v="13021"/>
    <n v="21.35"/>
    <n v="4065"/>
    <n v="16.7"/>
    <n v="8948"/>
    <n v="24.48"/>
    <x v="16"/>
    <n v="8.6"/>
  </r>
  <r>
    <s v="ti.14100"/>
    <x v="0"/>
    <x v="0"/>
    <x v="1"/>
    <s v="横浜市"/>
    <x v="1"/>
    <x v="7"/>
    <x v="7"/>
    <x v="7"/>
    <x v="7"/>
    <n v="414"/>
    <n v="0.68"/>
    <n v="28"/>
    <n v="0.12"/>
    <n v="386"/>
    <n v="1.06"/>
    <x v="0"/>
    <n v="0"/>
  </r>
  <r>
    <s v="ti.14100"/>
    <x v="0"/>
    <x v="0"/>
    <x v="1"/>
    <s v="横浜市"/>
    <x v="1"/>
    <x v="8"/>
    <x v="8"/>
    <x v="8"/>
    <x v="8"/>
    <n v="8078"/>
    <n v="13.25"/>
    <n v="3034"/>
    <n v="12.46"/>
    <n v="5025"/>
    <n v="13.75"/>
    <x v="17"/>
    <n v="20.43"/>
  </r>
  <r>
    <s v="ti.14100"/>
    <x v="0"/>
    <x v="0"/>
    <x v="1"/>
    <s v="横浜市"/>
    <x v="1"/>
    <x v="9"/>
    <x v="9"/>
    <x v="9"/>
    <x v="9"/>
    <n v="4082"/>
    <n v="6.69"/>
    <n v="1750"/>
    <n v="7.19"/>
    <n v="2330"/>
    <n v="6.37"/>
    <x v="13"/>
    <n v="2.15"/>
  </r>
  <r>
    <s v="ti.14100"/>
    <x v="0"/>
    <x v="0"/>
    <x v="1"/>
    <s v="横浜市"/>
    <x v="1"/>
    <x v="10"/>
    <x v="10"/>
    <x v="10"/>
    <x v="10"/>
    <n v="6932"/>
    <n v="11.37"/>
    <n v="5127"/>
    <n v="21.06"/>
    <n v="1801"/>
    <n v="4.93"/>
    <x v="1"/>
    <n v="4.3"/>
  </r>
  <r>
    <s v="ti.14100"/>
    <x v="0"/>
    <x v="0"/>
    <x v="1"/>
    <s v="横浜市"/>
    <x v="1"/>
    <x v="11"/>
    <x v="11"/>
    <x v="11"/>
    <x v="11"/>
    <n v="6583"/>
    <n v="10.79"/>
    <n v="4424"/>
    <n v="18.18"/>
    <n v="2156"/>
    <n v="5.9"/>
    <x v="2"/>
    <n v="3.23"/>
  </r>
  <r>
    <s v="ti.14100"/>
    <x v="0"/>
    <x v="0"/>
    <x v="1"/>
    <s v="横浜市"/>
    <x v="1"/>
    <x v="12"/>
    <x v="12"/>
    <x v="12"/>
    <x v="12"/>
    <n v="2275"/>
    <n v="3.73"/>
    <n v="1450"/>
    <n v="5.96"/>
    <n v="821"/>
    <n v="2.25"/>
    <x v="1"/>
    <n v="4.3"/>
  </r>
  <r>
    <s v="ti.14100"/>
    <x v="0"/>
    <x v="0"/>
    <x v="1"/>
    <s v="横浜市"/>
    <x v="1"/>
    <x v="13"/>
    <x v="13"/>
    <x v="13"/>
    <x v="13"/>
    <n v="3070"/>
    <n v="5.03"/>
    <n v="1994"/>
    <n v="8.19"/>
    <n v="1050"/>
    <n v="2.87"/>
    <x v="18"/>
    <n v="27.96"/>
  </r>
  <r>
    <s v="ti.14100"/>
    <x v="0"/>
    <x v="0"/>
    <x v="1"/>
    <s v="横浜市"/>
    <x v="1"/>
    <x v="14"/>
    <x v="14"/>
    <x v="14"/>
    <x v="14"/>
    <n v="2005"/>
    <n v="3.29"/>
    <n v="381"/>
    <n v="1.57"/>
    <n v="1608"/>
    <n v="4.4000000000000004"/>
    <x v="19"/>
    <n v="17.2"/>
  </r>
  <r>
    <s v="ti.14101"/>
    <x v="0"/>
    <x v="0"/>
    <x v="2"/>
    <s v="横浜市鶴見区"/>
    <x v="2"/>
    <x v="0"/>
    <x v="0"/>
    <x v="0"/>
    <x v="0"/>
    <n v="0"/>
    <n v="0"/>
    <n v="0"/>
    <n v="0"/>
    <n v="0"/>
    <n v="0"/>
    <x v="0"/>
    <n v="0"/>
  </r>
  <r>
    <s v="ti.14101"/>
    <x v="0"/>
    <x v="0"/>
    <x v="2"/>
    <s v="横浜市鶴見区"/>
    <x v="2"/>
    <x v="1"/>
    <x v="1"/>
    <x v="1"/>
    <x v="1"/>
    <n v="789"/>
    <n v="15.73"/>
    <n v="115"/>
    <n v="5.43"/>
    <n v="674"/>
    <n v="23.32"/>
    <x v="0"/>
    <n v="0"/>
  </r>
  <r>
    <s v="ti.14101"/>
    <x v="0"/>
    <x v="0"/>
    <x v="2"/>
    <s v="横浜市鶴見区"/>
    <x v="2"/>
    <x v="2"/>
    <x v="2"/>
    <x v="2"/>
    <x v="2"/>
    <n v="540"/>
    <n v="10.77"/>
    <n v="91"/>
    <n v="4.3"/>
    <n v="449"/>
    <n v="15.54"/>
    <x v="0"/>
    <n v="0"/>
  </r>
  <r>
    <s v="ti.14101"/>
    <x v="0"/>
    <x v="0"/>
    <x v="2"/>
    <s v="横浜市鶴見区"/>
    <x v="2"/>
    <x v="3"/>
    <x v="3"/>
    <x v="3"/>
    <x v="3"/>
    <n v="2"/>
    <n v="0.04"/>
    <n v="0"/>
    <n v="0"/>
    <n v="2"/>
    <n v="7.0000000000000007E-2"/>
    <x v="0"/>
    <n v="0"/>
  </r>
  <r>
    <s v="ti.14101"/>
    <x v="0"/>
    <x v="0"/>
    <x v="2"/>
    <s v="横浜市鶴見区"/>
    <x v="2"/>
    <x v="4"/>
    <x v="4"/>
    <x v="4"/>
    <x v="4"/>
    <n v="53"/>
    <n v="1.06"/>
    <n v="1"/>
    <n v="0.05"/>
    <n v="51"/>
    <n v="1.76"/>
    <x v="14"/>
    <n v="12.5"/>
  </r>
  <r>
    <s v="ti.14101"/>
    <x v="0"/>
    <x v="0"/>
    <x v="2"/>
    <s v="横浜市鶴見区"/>
    <x v="2"/>
    <x v="5"/>
    <x v="5"/>
    <x v="5"/>
    <x v="5"/>
    <n v="118"/>
    <n v="2.35"/>
    <n v="15"/>
    <n v="0.71"/>
    <n v="103"/>
    <n v="3.56"/>
    <x v="0"/>
    <n v="0"/>
  </r>
  <r>
    <s v="ti.14101"/>
    <x v="0"/>
    <x v="0"/>
    <x v="2"/>
    <s v="横浜市鶴見区"/>
    <x v="2"/>
    <x v="6"/>
    <x v="6"/>
    <x v="6"/>
    <x v="6"/>
    <n v="1089"/>
    <n v="21.71"/>
    <n v="454"/>
    <n v="21.45"/>
    <n v="635"/>
    <n v="21.97"/>
    <x v="0"/>
    <n v="0"/>
  </r>
  <r>
    <s v="ti.14101"/>
    <x v="0"/>
    <x v="0"/>
    <x v="2"/>
    <s v="横浜市鶴見区"/>
    <x v="2"/>
    <x v="7"/>
    <x v="7"/>
    <x v="7"/>
    <x v="7"/>
    <n v="22"/>
    <n v="0.44"/>
    <n v="2"/>
    <n v="0.09"/>
    <n v="20"/>
    <n v="0.69"/>
    <x v="0"/>
    <n v="0"/>
  </r>
  <r>
    <s v="ti.14101"/>
    <x v="0"/>
    <x v="0"/>
    <x v="2"/>
    <s v="横浜市鶴見区"/>
    <x v="2"/>
    <x v="8"/>
    <x v="8"/>
    <x v="8"/>
    <x v="8"/>
    <n v="522"/>
    <n v="10.41"/>
    <n v="169"/>
    <n v="7.98"/>
    <n v="351"/>
    <n v="12.15"/>
    <x v="13"/>
    <n v="25"/>
  </r>
  <r>
    <s v="ti.14101"/>
    <x v="0"/>
    <x v="0"/>
    <x v="2"/>
    <s v="横浜市鶴見区"/>
    <x v="2"/>
    <x v="9"/>
    <x v="9"/>
    <x v="9"/>
    <x v="9"/>
    <n v="193"/>
    <n v="3.85"/>
    <n v="84"/>
    <n v="3.97"/>
    <n v="109"/>
    <n v="3.77"/>
    <x v="0"/>
    <n v="0"/>
  </r>
  <r>
    <s v="ti.14101"/>
    <x v="0"/>
    <x v="0"/>
    <x v="2"/>
    <s v="横浜市鶴見区"/>
    <x v="2"/>
    <x v="10"/>
    <x v="10"/>
    <x v="10"/>
    <x v="10"/>
    <n v="688"/>
    <n v="13.72"/>
    <n v="541"/>
    <n v="25.56"/>
    <n v="146"/>
    <n v="5.05"/>
    <x v="14"/>
    <n v="12.5"/>
  </r>
  <r>
    <s v="ti.14101"/>
    <x v="0"/>
    <x v="0"/>
    <x v="2"/>
    <s v="横浜市鶴見区"/>
    <x v="2"/>
    <x v="11"/>
    <x v="11"/>
    <x v="11"/>
    <x v="11"/>
    <n v="527"/>
    <n v="10.51"/>
    <n v="381"/>
    <n v="18"/>
    <n v="145"/>
    <n v="5.0199999999999996"/>
    <x v="14"/>
    <n v="12.5"/>
  </r>
  <r>
    <s v="ti.14101"/>
    <x v="0"/>
    <x v="0"/>
    <x v="2"/>
    <s v="横浜市鶴見区"/>
    <x v="2"/>
    <x v="12"/>
    <x v="12"/>
    <x v="12"/>
    <x v="12"/>
    <n v="157"/>
    <n v="3.13"/>
    <n v="113"/>
    <n v="5.34"/>
    <n v="44"/>
    <n v="1.52"/>
    <x v="0"/>
    <n v="0"/>
  </r>
  <r>
    <s v="ti.14101"/>
    <x v="0"/>
    <x v="0"/>
    <x v="2"/>
    <s v="横浜市鶴見区"/>
    <x v="2"/>
    <x v="13"/>
    <x v="13"/>
    <x v="13"/>
    <x v="13"/>
    <n v="192"/>
    <n v="3.83"/>
    <n v="132"/>
    <n v="6.24"/>
    <n v="57"/>
    <n v="1.97"/>
    <x v="2"/>
    <n v="37.5"/>
  </r>
  <r>
    <s v="ti.14101"/>
    <x v="0"/>
    <x v="0"/>
    <x v="2"/>
    <s v="横浜市鶴見区"/>
    <x v="2"/>
    <x v="14"/>
    <x v="14"/>
    <x v="14"/>
    <x v="14"/>
    <n v="123"/>
    <n v="2.4500000000000002"/>
    <n v="19"/>
    <n v="0.9"/>
    <n v="104"/>
    <n v="3.6"/>
    <x v="0"/>
    <n v="0"/>
  </r>
  <r>
    <s v="ti.14102"/>
    <x v="0"/>
    <x v="0"/>
    <x v="2"/>
    <s v="横浜市神奈川区"/>
    <x v="3"/>
    <x v="0"/>
    <x v="0"/>
    <x v="0"/>
    <x v="0"/>
    <n v="0"/>
    <n v="0"/>
    <n v="0"/>
    <n v="0"/>
    <n v="0"/>
    <n v="0"/>
    <x v="0"/>
    <n v="0"/>
  </r>
  <r>
    <s v="ti.14102"/>
    <x v="0"/>
    <x v="0"/>
    <x v="2"/>
    <s v="横浜市神奈川区"/>
    <x v="3"/>
    <x v="1"/>
    <x v="1"/>
    <x v="1"/>
    <x v="1"/>
    <n v="578"/>
    <n v="12.74"/>
    <n v="77"/>
    <n v="3.83"/>
    <n v="501"/>
    <n v="19.91"/>
    <x v="0"/>
    <n v="0"/>
  </r>
  <r>
    <s v="ti.14102"/>
    <x v="0"/>
    <x v="0"/>
    <x v="2"/>
    <s v="横浜市神奈川区"/>
    <x v="3"/>
    <x v="2"/>
    <x v="2"/>
    <x v="2"/>
    <x v="2"/>
    <n v="187"/>
    <n v="4.12"/>
    <n v="32"/>
    <n v="1.59"/>
    <n v="155"/>
    <n v="6.16"/>
    <x v="0"/>
    <n v="0"/>
  </r>
  <r>
    <s v="ti.14102"/>
    <x v="0"/>
    <x v="0"/>
    <x v="2"/>
    <s v="横浜市神奈川区"/>
    <x v="3"/>
    <x v="3"/>
    <x v="3"/>
    <x v="3"/>
    <x v="3"/>
    <n v="1"/>
    <n v="0.02"/>
    <n v="0"/>
    <n v="0"/>
    <n v="1"/>
    <n v="0.04"/>
    <x v="0"/>
    <n v="0"/>
  </r>
  <r>
    <s v="ti.14102"/>
    <x v="0"/>
    <x v="0"/>
    <x v="2"/>
    <s v="横浜市神奈川区"/>
    <x v="3"/>
    <x v="4"/>
    <x v="4"/>
    <x v="4"/>
    <x v="4"/>
    <n v="63"/>
    <n v="1.39"/>
    <n v="1"/>
    <n v="0.05"/>
    <n v="62"/>
    <n v="2.46"/>
    <x v="0"/>
    <n v="0"/>
  </r>
  <r>
    <s v="ti.14102"/>
    <x v="0"/>
    <x v="0"/>
    <x v="2"/>
    <s v="横浜市神奈川区"/>
    <x v="3"/>
    <x v="5"/>
    <x v="5"/>
    <x v="5"/>
    <x v="5"/>
    <n v="84"/>
    <n v="1.85"/>
    <n v="14"/>
    <n v="0.7"/>
    <n v="70"/>
    <n v="2.78"/>
    <x v="0"/>
    <n v="0"/>
  </r>
  <r>
    <s v="ti.14102"/>
    <x v="0"/>
    <x v="0"/>
    <x v="2"/>
    <s v="横浜市神奈川区"/>
    <x v="3"/>
    <x v="6"/>
    <x v="6"/>
    <x v="6"/>
    <x v="6"/>
    <n v="949"/>
    <n v="20.91"/>
    <n v="345"/>
    <n v="17.16"/>
    <n v="603"/>
    <n v="23.97"/>
    <x v="14"/>
    <n v="8.33"/>
  </r>
  <r>
    <s v="ti.14102"/>
    <x v="0"/>
    <x v="0"/>
    <x v="2"/>
    <s v="横浜市神奈川区"/>
    <x v="3"/>
    <x v="7"/>
    <x v="7"/>
    <x v="7"/>
    <x v="7"/>
    <n v="34"/>
    <n v="0.75"/>
    <n v="1"/>
    <n v="0.05"/>
    <n v="33"/>
    <n v="1.31"/>
    <x v="0"/>
    <n v="0"/>
  </r>
  <r>
    <s v="ti.14102"/>
    <x v="0"/>
    <x v="0"/>
    <x v="2"/>
    <s v="横浜市神奈川区"/>
    <x v="3"/>
    <x v="8"/>
    <x v="8"/>
    <x v="8"/>
    <x v="8"/>
    <n v="791"/>
    <n v="17.43"/>
    <n v="435"/>
    <n v="21.64"/>
    <n v="355"/>
    <n v="14.11"/>
    <x v="14"/>
    <n v="8.33"/>
  </r>
  <r>
    <s v="ti.14102"/>
    <x v="0"/>
    <x v="0"/>
    <x v="2"/>
    <s v="横浜市神奈川区"/>
    <x v="3"/>
    <x v="9"/>
    <x v="9"/>
    <x v="9"/>
    <x v="9"/>
    <n v="315"/>
    <n v="6.94"/>
    <n v="126"/>
    <n v="6.27"/>
    <n v="189"/>
    <n v="7.51"/>
    <x v="0"/>
    <n v="0"/>
  </r>
  <r>
    <s v="ti.14102"/>
    <x v="0"/>
    <x v="0"/>
    <x v="2"/>
    <s v="横浜市神奈川区"/>
    <x v="3"/>
    <x v="10"/>
    <x v="10"/>
    <x v="10"/>
    <x v="10"/>
    <n v="563"/>
    <n v="12.41"/>
    <n v="434"/>
    <n v="21.59"/>
    <n v="129"/>
    <n v="5.13"/>
    <x v="0"/>
    <n v="0"/>
  </r>
  <r>
    <s v="ti.14102"/>
    <x v="0"/>
    <x v="0"/>
    <x v="2"/>
    <s v="横浜市神奈川区"/>
    <x v="3"/>
    <x v="11"/>
    <x v="11"/>
    <x v="11"/>
    <x v="11"/>
    <n v="434"/>
    <n v="9.56"/>
    <n v="293"/>
    <n v="14.58"/>
    <n v="141"/>
    <n v="5.6"/>
    <x v="0"/>
    <n v="0"/>
  </r>
  <r>
    <s v="ti.14102"/>
    <x v="0"/>
    <x v="0"/>
    <x v="2"/>
    <s v="横浜市神奈川区"/>
    <x v="3"/>
    <x v="12"/>
    <x v="12"/>
    <x v="12"/>
    <x v="12"/>
    <n v="147"/>
    <n v="3.24"/>
    <n v="84"/>
    <n v="4.18"/>
    <n v="63"/>
    <n v="2.5"/>
    <x v="0"/>
    <n v="0"/>
  </r>
  <r>
    <s v="ti.14102"/>
    <x v="0"/>
    <x v="0"/>
    <x v="2"/>
    <s v="横浜市神奈川区"/>
    <x v="3"/>
    <x v="13"/>
    <x v="13"/>
    <x v="13"/>
    <x v="13"/>
    <n v="242"/>
    <n v="5.33"/>
    <n v="147"/>
    <n v="7.31"/>
    <n v="87"/>
    <n v="3.46"/>
    <x v="16"/>
    <n v="66.67"/>
  </r>
  <r>
    <s v="ti.14102"/>
    <x v="0"/>
    <x v="0"/>
    <x v="2"/>
    <s v="横浜市神奈川区"/>
    <x v="3"/>
    <x v="14"/>
    <x v="14"/>
    <x v="14"/>
    <x v="14"/>
    <n v="150"/>
    <n v="3.31"/>
    <n v="21"/>
    <n v="1.04"/>
    <n v="127"/>
    <n v="5.05"/>
    <x v="13"/>
    <n v="16.670000000000002"/>
  </r>
  <r>
    <s v="ti.14103"/>
    <x v="0"/>
    <x v="0"/>
    <x v="2"/>
    <s v="横浜市西区"/>
    <x v="4"/>
    <x v="0"/>
    <x v="0"/>
    <x v="0"/>
    <x v="0"/>
    <n v="0"/>
    <n v="0"/>
    <n v="0"/>
    <n v="0"/>
    <n v="0"/>
    <n v="0"/>
    <x v="0"/>
    <n v="0"/>
  </r>
  <r>
    <s v="ti.14103"/>
    <x v="0"/>
    <x v="0"/>
    <x v="2"/>
    <s v="横浜市西区"/>
    <x v="4"/>
    <x v="1"/>
    <x v="1"/>
    <x v="1"/>
    <x v="1"/>
    <n v="299"/>
    <n v="8.92"/>
    <n v="49"/>
    <n v="4.47"/>
    <n v="250"/>
    <n v="11.09"/>
    <x v="0"/>
    <n v="0"/>
  </r>
  <r>
    <s v="ti.14103"/>
    <x v="0"/>
    <x v="0"/>
    <x v="2"/>
    <s v="横浜市西区"/>
    <x v="4"/>
    <x v="2"/>
    <x v="2"/>
    <x v="2"/>
    <x v="2"/>
    <n v="153"/>
    <n v="4.5599999999999996"/>
    <n v="26"/>
    <n v="2.37"/>
    <n v="127"/>
    <n v="5.63"/>
    <x v="0"/>
    <n v="0"/>
  </r>
  <r>
    <s v="ti.14103"/>
    <x v="0"/>
    <x v="0"/>
    <x v="2"/>
    <s v="横浜市西区"/>
    <x v="4"/>
    <x v="3"/>
    <x v="3"/>
    <x v="3"/>
    <x v="3"/>
    <n v="3"/>
    <n v="0.09"/>
    <n v="0"/>
    <n v="0"/>
    <n v="3"/>
    <n v="0.13"/>
    <x v="0"/>
    <n v="0"/>
  </r>
  <r>
    <s v="ti.14103"/>
    <x v="0"/>
    <x v="0"/>
    <x v="2"/>
    <s v="横浜市西区"/>
    <x v="4"/>
    <x v="4"/>
    <x v="4"/>
    <x v="4"/>
    <x v="4"/>
    <n v="71"/>
    <n v="2.12"/>
    <n v="2"/>
    <n v="0.18"/>
    <n v="69"/>
    <n v="3.06"/>
    <x v="0"/>
    <n v="0"/>
  </r>
  <r>
    <s v="ti.14103"/>
    <x v="0"/>
    <x v="0"/>
    <x v="2"/>
    <s v="横浜市西区"/>
    <x v="4"/>
    <x v="5"/>
    <x v="5"/>
    <x v="5"/>
    <x v="5"/>
    <n v="23"/>
    <n v="0.69"/>
    <n v="7"/>
    <n v="0.64"/>
    <n v="16"/>
    <n v="0.71"/>
    <x v="0"/>
    <n v="0"/>
  </r>
  <r>
    <s v="ti.14103"/>
    <x v="0"/>
    <x v="0"/>
    <x v="2"/>
    <s v="横浜市西区"/>
    <x v="4"/>
    <x v="6"/>
    <x v="6"/>
    <x v="6"/>
    <x v="6"/>
    <n v="1031"/>
    <n v="30.76"/>
    <n v="170"/>
    <n v="15.51"/>
    <n v="860"/>
    <n v="38.15"/>
    <x v="14"/>
    <n v="50"/>
  </r>
  <r>
    <s v="ti.14103"/>
    <x v="0"/>
    <x v="0"/>
    <x v="2"/>
    <s v="横浜市西区"/>
    <x v="4"/>
    <x v="7"/>
    <x v="7"/>
    <x v="7"/>
    <x v="7"/>
    <n v="20"/>
    <n v="0.6"/>
    <n v="1"/>
    <n v="0.09"/>
    <n v="19"/>
    <n v="0.84"/>
    <x v="0"/>
    <n v="0"/>
  </r>
  <r>
    <s v="ti.14103"/>
    <x v="0"/>
    <x v="0"/>
    <x v="2"/>
    <s v="横浜市西区"/>
    <x v="4"/>
    <x v="8"/>
    <x v="8"/>
    <x v="8"/>
    <x v="8"/>
    <n v="440"/>
    <n v="13.13"/>
    <n v="168"/>
    <n v="15.33"/>
    <n v="272"/>
    <n v="12.07"/>
    <x v="0"/>
    <n v="0"/>
  </r>
  <r>
    <s v="ti.14103"/>
    <x v="0"/>
    <x v="0"/>
    <x v="2"/>
    <s v="横浜市西区"/>
    <x v="4"/>
    <x v="9"/>
    <x v="9"/>
    <x v="9"/>
    <x v="9"/>
    <n v="305"/>
    <n v="9.1"/>
    <n v="143"/>
    <n v="13.05"/>
    <n v="162"/>
    <n v="7.19"/>
    <x v="0"/>
    <n v="0"/>
  </r>
  <r>
    <s v="ti.14103"/>
    <x v="0"/>
    <x v="0"/>
    <x v="2"/>
    <s v="横浜市西区"/>
    <x v="4"/>
    <x v="10"/>
    <x v="10"/>
    <x v="10"/>
    <x v="10"/>
    <n v="335"/>
    <n v="9.99"/>
    <n v="218"/>
    <n v="19.89"/>
    <n v="117"/>
    <n v="5.19"/>
    <x v="0"/>
    <n v="0"/>
  </r>
  <r>
    <s v="ti.14103"/>
    <x v="0"/>
    <x v="0"/>
    <x v="2"/>
    <s v="横浜市西区"/>
    <x v="4"/>
    <x v="11"/>
    <x v="11"/>
    <x v="11"/>
    <x v="11"/>
    <n v="286"/>
    <n v="8.5299999999999994"/>
    <n v="161"/>
    <n v="14.69"/>
    <n v="125"/>
    <n v="5.55"/>
    <x v="0"/>
    <n v="0"/>
  </r>
  <r>
    <s v="ti.14103"/>
    <x v="0"/>
    <x v="0"/>
    <x v="2"/>
    <s v="横浜市西区"/>
    <x v="4"/>
    <x v="12"/>
    <x v="12"/>
    <x v="12"/>
    <x v="12"/>
    <n v="99"/>
    <n v="2.95"/>
    <n v="49"/>
    <n v="4.47"/>
    <n v="50"/>
    <n v="2.2200000000000002"/>
    <x v="0"/>
    <n v="0"/>
  </r>
  <r>
    <s v="ti.14103"/>
    <x v="0"/>
    <x v="0"/>
    <x v="2"/>
    <s v="横浜市西区"/>
    <x v="4"/>
    <x v="13"/>
    <x v="13"/>
    <x v="13"/>
    <x v="13"/>
    <n v="124"/>
    <n v="3.7"/>
    <n v="85"/>
    <n v="7.76"/>
    <n v="39"/>
    <n v="1.73"/>
    <x v="0"/>
    <n v="0"/>
  </r>
  <r>
    <s v="ti.14103"/>
    <x v="0"/>
    <x v="0"/>
    <x v="2"/>
    <s v="横浜市西区"/>
    <x v="4"/>
    <x v="14"/>
    <x v="14"/>
    <x v="14"/>
    <x v="14"/>
    <n v="163"/>
    <n v="4.8600000000000003"/>
    <n v="17"/>
    <n v="1.55"/>
    <n v="145"/>
    <n v="6.43"/>
    <x v="14"/>
    <n v="50"/>
  </r>
  <r>
    <s v="ti.14104"/>
    <x v="0"/>
    <x v="0"/>
    <x v="2"/>
    <s v="横浜市中区"/>
    <x v="5"/>
    <x v="0"/>
    <x v="0"/>
    <x v="0"/>
    <x v="0"/>
    <n v="0"/>
    <n v="0"/>
    <n v="0"/>
    <n v="0"/>
    <n v="0"/>
    <n v="0"/>
    <x v="0"/>
    <n v="0"/>
  </r>
  <r>
    <s v="ti.14104"/>
    <x v="0"/>
    <x v="0"/>
    <x v="2"/>
    <s v="横浜市中区"/>
    <x v="5"/>
    <x v="1"/>
    <x v="1"/>
    <x v="1"/>
    <x v="1"/>
    <n v="455"/>
    <n v="6.42"/>
    <n v="48"/>
    <n v="1.68"/>
    <n v="407"/>
    <n v="9.67"/>
    <x v="0"/>
    <n v="0"/>
  </r>
  <r>
    <s v="ti.14104"/>
    <x v="0"/>
    <x v="0"/>
    <x v="2"/>
    <s v="横浜市中区"/>
    <x v="5"/>
    <x v="2"/>
    <x v="2"/>
    <x v="2"/>
    <x v="2"/>
    <n v="187"/>
    <n v="2.64"/>
    <n v="33"/>
    <n v="1.1599999999999999"/>
    <n v="154"/>
    <n v="3.66"/>
    <x v="0"/>
    <n v="0"/>
  </r>
  <r>
    <s v="ti.14104"/>
    <x v="0"/>
    <x v="0"/>
    <x v="2"/>
    <s v="横浜市中区"/>
    <x v="5"/>
    <x v="3"/>
    <x v="3"/>
    <x v="3"/>
    <x v="3"/>
    <n v="2"/>
    <n v="0.03"/>
    <n v="0"/>
    <n v="0"/>
    <n v="2"/>
    <n v="0.05"/>
    <x v="0"/>
    <n v="0"/>
  </r>
  <r>
    <s v="ti.14104"/>
    <x v="0"/>
    <x v="0"/>
    <x v="2"/>
    <s v="横浜市中区"/>
    <x v="5"/>
    <x v="4"/>
    <x v="4"/>
    <x v="4"/>
    <x v="4"/>
    <n v="134"/>
    <n v="1.89"/>
    <n v="7"/>
    <n v="0.25"/>
    <n v="126"/>
    <n v="2.99"/>
    <x v="14"/>
    <n v="4.55"/>
  </r>
  <r>
    <s v="ti.14104"/>
    <x v="0"/>
    <x v="0"/>
    <x v="2"/>
    <s v="横浜市中区"/>
    <x v="5"/>
    <x v="5"/>
    <x v="5"/>
    <x v="5"/>
    <x v="5"/>
    <n v="228"/>
    <n v="3.22"/>
    <n v="10"/>
    <n v="0.35"/>
    <n v="216"/>
    <n v="5.13"/>
    <x v="13"/>
    <n v="9.09"/>
  </r>
  <r>
    <s v="ti.14104"/>
    <x v="0"/>
    <x v="0"/>
    <x v="2"/>
    <s v="横浜市中区"/>
    <x v="5"/>
    <x v="6"/>
    <x v="6"/>
    <x v="6"/>
    <x v="6"/>
    <n v="1569"/>
    <n v="22.13"/>
    <n v="377"/>
    <n v="13.2"/>
    <n v="1190"/>
    <n v="28.26"/>
    <x v="13"/>
    <n v="9.09"/>
  </r>
  <r>
    <s v="ti.14104"/>
    <x v="0"/>
    <x v="0"/>
    <x v="2"/>
    <s v="横浜市中区"/>
    <x v="5"/>
    <x v="7"/>
    <x v="7"/>
    <x v="7"/>
    <x v="7"/>
    <n v="76"/>
    <n v="1.07"/>
    <n v="4"/>
    <n v="0.14000000000000001"/>
    <n v="72"/>
    <n v="1.71"/>
    <x v="0"/>
    <n v="0"/>
  </r>
  <r>
    <s v="ti.14104"/>
    <x v="0"/>
    <x v="0"/>
    <x v="2"/>
    <s v="横浜市中区"/>
    <x v="5"/>
    <x v="8"/>
    <x v="8"/>
    <x v="8"/>
    <x v="8"/>
    <n v="870"/>
    <n v="12.27"/>
    <n v="242"/>
    <n v="8.4700000000000006"/>
    <n v="625"/>
    <n v="14.84"/>
    <x v="2"/>
    <n v="13.64"/>
  </r>
  <r>
    <s v="ti.14104"/>
    <x v="0"/>
    <x v="0"/>
    <x v="2"/>
    <s v="横浜市中区"/>
    <x v="5"/>
    <x v="9"/>
    <x v="9"/>
    <x v="9"/>
    <x v="9"/>
    <n v="896"/>
    <n v="12.64"/>
    <n v="516"/>
    <n v="18.07"/>
    <n v="380"/>
    <n v="9.02"/>
    <x v="0"/>
    <n v="0"/>
  </r>
  <r>
    <s v="ti.14104"/>
    <x v="0"/>
    <x v="0"/>
    <x v="2"/>
    <s v="横浜市中区"/>
    <x v="5"/>
    <x v="10"/>
    <x v="10"/>
    <x v="10"/>
    <x v="10"/>
    <n v="1424"/>
    <n v="20.09"/>
    <n v="1007"/>
    <n v="35.26"/>
    <n v="417"/>
    <n v="9.9"/>
    <x v="0"/>
    <n v="0"/>
  </r>
  <r>
    <s v="ti.14104"/>
    <x v="0"/>
    <x v="0"/>
    <x v="2"/>
    <s v="横浜市中区"/>
    <x v="5"/>
    <x v="11"/>
    <x v="11"/>
    <x v="11"/>
    <x v="11"/>
    <n v="564"/>
    <n v="7.96"/>
    <n v="329"/>
    <n v="11.52"/>
    <n v="235"/>
    <n v="5.58"/>
    <x v="0"/>
    <n v="0"/>
  </r>
  <r>
    <s v="ti.14104"/>
    <x v="0"/>
    <x v="0"/>
    <x v="2"/>
    <s v="横浜市中区"/>
    <x v="5"/>
    <x v="12"/>
    <x v="12"/>
    <x v="12"/>
    <x v="12"/>
    <n v="136"/>
    <n v="1.92"/>
    <n v="70"/>
    <n v="2.4500000000000002"/>
    <n v="64"/>
    <n v="1.52"/>
    <x v="13"/>
    <n v="9.09"/>
  </r>
  <r>
    <s v="ti.14104"/>
    <x v="0"/>
    <x v="0"/>
    <x v="2"/>
    <s v="横浜市中区"/>
    <x v="5"/>
    <x v="13"/>
    <x v="13"/>
    <x v="13"/>
    <x v="13"/>
    <n v="304"/>
    <n v="4.29"/>
    <n v="191"/>
    <n v="6.69"/>
    <n v="110"/>
    <n v="2.61"/>
    <x v="2"/>
    <n v="13.64"/>
  </r>
  <r>
    <s v="ti.14104"/>
    <x v="0"/>
    <x v="0"/>
    <x v="2"/>
    <s v="横浜市中区"/>
    <x v="5"/>
    <x v="14"/>
    <x v="14"/>
    <x v="14"/>
    <x v="14"/>
    <n v="244"/>
    <n v="3.44"/>
    <n v="22"/>
    <n v="0.77"/>
    <n v="213"/>
    <n v="5.0599999999999996"/>
    <x v="9"/>
    <n v="40.909999999999997"/>
  </r>
  <r>
    <s v="ti.14105"/>
    <x v="0"/>
    <x v="0"/>
    <x v="2"/>
    <s v="横浜市南区"/>
    <x v="6"/>
    <x v="0"/>
    <x v="0"/>
    <x v="0"/>
    <x v="0"/>
    <n v="0"/>
    <n v="0"/>
    <n v="0"/>
    <n v="0"/>
    <n v="0"/>
    <n v="0"/>
    <x v="0"/>
    <m/>
  </r>
  <r>
    <s v="ti.14105"/>
    <x v="0"/>
    <x v="0"/>
    <x v="2"/>
    <s v="横浜市南区"/>
    <x v="6"/>
    <x v="1"/>
    <x v="1"/>
    <x v="1"/>
    <x v="1"/>
    <n v="465"/>
    <n v="13.37"/>
    <n v="57"/>
    <n v="3.41"/>
    <n v="408"/>
    <n v="22.57"/>
    <x v="0"/>
    <m/>
  </r>
  <r>
    <s v="ti.14105"/>
    <x v="0"/>
    <x v="0"/>
    <x v="2"/>
    <s v="横浜市南区"/>
    <x v="6"/>
    <x v="2"/>
    <x v="2"/>
    <x v="2"/>
    <x v="2"/>
    <n v="241"/>
    <n v="6.93"/>
    <n v="49"/>
    <n v="2.93"/>
    <n v="192"/>
    <n v="10.62"/>
    <x v="0"/>
    <m/>
  </r>
  <r>
    <s v="ti.14105"/>
    <x v="0"/>
    <x v="0"/>
    <x v="2"/>
    <s v="横浜市南区"/>
    <x v="6"/>
    <x v="3"/>
    <x v="3"/>
    <x v="3"/>
    <x v="3"/>
    <n v="0"/>
    <n v="0"/>
    <n v="0"/>
    <n v="0"/>
    <n v="0"/>
    <n v="0"/>
    <x v="0"/>
    <m/>
  </r>
  <r>
    <s v="ti.14105"/>
    <x v="0"/>
    <x v="0"/>
    <x v="2"/>
    <s v="横浜市南区"/>
    <x v="6"/>
    <x v="4"/>
    <x v="4"/>
    <x v="4"/>
    <x v="4"/>
    <n v="29"/>
    <n v="0.83"/>
    <n v="1"/>
    <n v="0.06"/>
    <n v="28"/>
    <n v="1.55"/>
    <x v="0"/>
    <m/>
  </r>
  <r>
    <s v="ti.14105"/>
    <x v="0"/>
    <x v="0"/>
    <x v="2"/>
    <s v="横浜市南区"/>
    <x v="6"/>
    <x v="5"/>
    <x v="5"/>
    <x v="5"/>
    <x v="5"/>
    <n v="29"/>
    <n v="0.83"/>
    <n v="15"/>
    <n v="0.9"/>
    <n v="14"/>
    <n v="0.77"/>
    <x v="0"/>
    <m/>
  </r>
  <r>
    <s v="ti.14105"/>
    <x v="0"/>
    <x v="0"/>
    <x v="2"/>
    <s v="横浜市南区"/>
    <x v="6"/>
    <x v="6"/>
    <x v="6"/>
    <x v="6"/>
    <x v="6"/>
    <n v="812"/>
    <n v="23.34"/>
    <n v="327"/>
    <n v="19.57"/>
    <n v="485"/>
    <n v="26.83"/>
    <x v="0"/>
    <m/>
  </r>
  <r>
    <s v="ti.14105"/>
    <x v="0"/>
    <x v="0"/>
    <x v="2"/>
    <s v="横浜市南区"/>
    <x v="6"/>
    <x v="7"/>
    <x v="7"/>
    <x v="7"/>
    <x v="7"/>
    <n v="18"/>
    <n v="0.52"/>
    <n v="2"/>
    <n v="0.12"/>
    <n v="16"/>
    <n v="0.88"/>
    <x v="0"/>
    <m/>
  </r>
  <r>
    <s v="ti.14105"/>
    <x v="0"/>
    <x v="0"/>
    <x v="2"/>
    <s v="横浜市南区"/>
    <x v="6"/>
    <x v="8"/>
    <x v="8"/>
    <x v="8"/>
    <x v="8"/>
    <n v="455"/>
    <n v="13.08"/>
    <n v="222"/>
    <n v="13.29"/>
    <n v="233"/>
    <n v="12.89"/>
    <x v="0"/>
    <m/>
  </r>
  <r>
    <s v="ti.14105"/>
    <x v="0"/>
    <x v="0"/>
    <x v="2"/>
    <s v="横浜市南区"/>
    <x v="6"/>
    <x v="9"/>
    <x v="9"/>
    <x v="9"/>
    <x v="9"/>
    <n v="143"/>
    <n v="4.1100000000000003"/>
    <n v="56"/>
    <n v="3.35"/>
    <n v="87"/>
    <n v="4.8099999999999996"/>
    <x v="0"/>
    <m/>
  </r>
  <r>
    <s v="ti.14105"/>
    <x v="0"/>
    <x v="0"/>
    <x v="2"/>
    <s v="横浜市南区"/>
    <x v="6"/>
    <x v="10"/>
    <x v="10"/>
    <x v="10"/>
    <x v="10"/>
    <n v="523"/>
    <n v="15.03"/>
    <n v="414"/>
    <n v="24.78"/>
    <n v="109"/>
    <n v="6.03"/>
    <x v="0"/>
    <m/>
  </r>
  <r>
    <s v="ti.14105"/>
    <x v="0"/>
    <x v="0"/>
    <x v="2"/>
    <s v="横浜市南区"/>
    <x v="6"/>
    <x v="11"/>
    <x v="11"/>
    <x v="11"/>
    <x v="11"/>
    <n v="432"/>
    <n v="12.42"/>
    <n v="324"/>
    <n v="19.39"/>
    <n v="108"/>
    <n v="5.97"/>
    <x v="0"/>
    <m/>
  </r>
  <r>
    <s v="ti.14105"/>
    <x v="0"/>
    <x v="0"/>
    <x v="2"/>
    <s v="横浜市南区"/>
    <x v="6"/>
    <x v="12"/>
    <x v="12"/>
    <x v="12"/>
    <x v="12"/>
    <n v="91"/>
    <n v="2.62"/>
    <n v="66"/>
    <n v="3.95"/>
    <n v="25"/>
    <n v="1.38"/>
    <x v="0"/>
    <m/>
  </r>
  <r>
    <s v="ti.14105"/>
    <x v="0"/>
    <x v="0"/>
    <x v="2"/>
    <s v="横浜市南区"/>
    <x v="6"/>
    <x v="13"/>
    <x v="13"/>
    <x v="13"/>
    <x v="13"/>
    <n v="148"/>
    <n v="4.25"/>
    <n v="107"/>
    <n v="6.4"/>
    <n v="41"/>
    <n v="2.27"/>
    <x v="0"/>
    <m/>
  </r>
  <r>
    <s v="ti.14105"/>
    <x v="0"/>
    <x v="0"/>
    <x v="2"/>
    <s v="横浜市南区"/>
    <x v="6"/>
    <x v="14"/>
    <x v="14"/>
    <x v="14"/>
    <x v="14"/>
    <n v="93"/>
    <n v="2.67"/>
    <n v="31"/>
    <n v="1.86"/>
    <n v="62"/>
    <n v="3.43"/>
    <x v="0"/>
    <m/>
  </r>
  <r>
    <s v="ti.14106"/>
    <x v="0"/>
    <x v="0"/>
    <x v="2"/>
    <s v="横浜市保土ケ谷区"/>
    <x v="7"/>
    <x v="0"/>
    <x v="0"/>
    <x v="0"/>
    <x v="0"/>
    <n v="0"/>
    <n v="0"/>
    <n v="0"/>
    <n v="0"/>
    <n v="0"/>
    <n v="0"/>
    <x v="0"/>
    <m/>
  </r>
  <r>
    <s v="ti.14106"/>
    <x v="0"/>
    <x v="0"/>
    <x v="2"/>
    <s v="横浜市保土ケ谷区"/>
    <x v="7"/>
    <x v="1"/>
    <x v="1"/>
    <x v="1"/>
    <x v="1"/>
    <n v="441"/>
    <n v="15.26"/>
    <n v="64"/>
    <n v="4.67"/>
    <n v="377"/>
    <n v="24.84"/>
    <x v="0"/>
    <m/>
  </r>
  <r>
    <s v="ti.14106"/>
    <x v="0"/>
    <x v="0"/>
    <x v="2"/>
    <s v="横浜市保土ケ谷区"/>
    <x v="7"/>
    <x v="2"/>
    <x v="2"/>
    <x v="2"/>
    <x v="2"/>
    <n v="155"/>
    <n v="5.37"/>
    <n v="33"/>
    <n v="2.41"/>
    <n v="122"/>
    <n v="8.0399999999999991"/>
    <x v="0"/>
    <m/>
  </r>
  <r>
    <s v="ti.14106"/>
    <x v="0"/>
    <x v="0"/>
    <x v="2"/>
    <s v="横浜市保土ケ谷区"/>
    <x v="7"/>
    <x v="3"/>
    <x v="3"/>
    <x v="3"/>
    <x v="3"/>
    <n v="0"/>
    <n v="0"/>
    <n v="0"/>
    <n v="0"/>
    <n v="0"/>
    <n v="0"/>
    <x v="0"/>
    <m/>
  </r>
  <r>
    <s v="ti.14106"/>
    <x v="0"/>
    <x v="0"/>
    <x v="2"/>
    <s v="横浜市保土ケ谷区"/>
    <x v="7"/>
    <x v="4"/>
    <x v="4"/>
    <x v="4"/>
    <x v="4"/>
    <n v="38"/>
    <n v="1.32"/>
    <n v="2"/>
    <n v="0.15"/>
    <n v="36"/>
    <n v="2.37"/>
    <x v="0"/>
    <m/>
  </r>
  <r>
    <s v="ti.14106"/>
    <x v="0"/>
    <x v="0"/>
    <x v="2"/>
    <s v="横浜市保土ケ谷区"/>
    <x v="7"/>
    <x v="5"/>
    <x v="5"/>
    <x v="5"/>
    <x v="5"/>
    <n v="35"/>
    <n v="1.21"/>
    <n v="18"/>
    <n v="1.31"/>
    <n v="17"/>
    <n v="1.1200000000000001"/>
    <x v="0"/>
    <m/>
  </r>
  <r>
    <s v="ti.14106"/>
    <x v="0"/>
    <x v="0"/>
    <x v="2"/>
    <s v="横浜市保土ケ谷区"/>
    <x v="7"/>
    <x v="6"/>
    <x v="6"/>
    <x v="6"/>
    <x v="6"/>
    <n v="630"/>
    <n v="21.81"/>
    <n v="273"/>
    <n v="19.91"/>
    <n v="357"/>
    <n v="23.52"/>
    <x v="0"/>
    <m/>
  </r>
  <r>
    <s v="ti.14106"/>
    <x v="0"/>
    <x v="0"/>
    <x v="2"/>
    <s v="横浜市保土ケ谷区"/>
    <x v="7"/>
    <x v="7"/>
    <x v="7"/>
    <x v="7"/>
    <x v="7"/>
    <n v="19"/>
    <n v="0.66"/>
    <n v="3"/>
    <n v="0.22"/>
    <n v="16"/>
    <n v="1.05"/>
    <x v="0"/>
    <m/>
  </r>
  <r>
    <s v="ti.14106"/>
    <x v="0"/>
    <x v="0"/>
    <x v="2"/>
    <s v="横浜市保土ケ谷区"/>
    <x v="7"/>
    <x v="8"/>
    <x v="8"/>
    <x v="8"/>
    <x v="8"/>
    <n v="394"/>
    <n v="13.64"/>
    <n v="203"/>
    <n v="14.81"/>
    <n v="191"/>
    <n v="12.58"/>
    <x v="0"/>
    <m/>
  </r>
  <r>
    <s v="ti.14106"/>
    <x v="0"/>
    <x v="0"/>
    <x v="2"/>
    <s v="横浜市保土ケ谷区"/>
    <x v="7"/>
    <x v="9"/>
    <x v="9"/>
    <x v="9"/>
    <x v="9"/>
    <n v="140"/>
    <n v="4.8499999999999996"/>
    <n v="51"/>
    <n v="3.72"/>
    <n v="89"/>
    <n v="5.86"/>
    <x v="0"/>
    <m/>
  </r>
  <r>
    <s v="ti.14106"/>
    <x v="0"/>
    <x v="0"/>
    <x v="2"/>
    <s v="横浜市保土ケ谷区"/>
    <x v="7"/>
    <x v="10"/>
    <x v="10"/>
    <x v="10"/>
    <x v="10"/>
    <n v="348"/>
    <n v="12.05"/>
    <n v="269"/>
    <n v="19.62"/>
    <n v="79"/>
    <n v="5.2"/>
    <x v="0"/>
    <m/>
  </r>
  <r>
    <s v="ti.14106"/>
    <x v="0"/>
    <x v="0"/>
    <x v="2"/>
    <s v="横浜市保土ケ谷区"/>
    <x v="7"/>
    <x v="11"/>
    <x v="11"/>
    <x v="11"/>
    <x v="11"/>
    <n v="360"/>
    <n v="12.46"/>
    <n v="270"/>
    <n v="19.690000000000001"/>
    <n v="90"/>
    <n v="5.93"/>
    <x v="0"/>
    <m/>
  </r>
  <r>
    <s v="ti.14106"/>
    <x v="0"/>
    <x v="0"/>
    <x v="2"/>
    <s v="横浜市保土ケ谷区"/>
    <x v="7"/>
    <x v="12"/>
    <x v="12"/>
    <x v="12"/>
    <x v="12"/>
    <n v="98"/>
    <n v="3.39"/>
    <n v="66"/>
    <n v="4.8099999999999996"/>
    <n v="32"/>
    <n v="2.11"/>
    <x v="0"/>
    <m/>
  </r>
  <r>
    <s v="ti.14106"/>
    <x v="0"/>
    <x v="0"/>
    <x v="2"/>
    <s v="横浜市保土ケ谷区"/>
    <x v="7"/>
    <x v="13"/>
    <x v="13"/>
    <x v="13"/>
    <x v="13"/>
    <n v="162"/>
    <n v="5.61"/>
    <n v="104"/>
    <n v="7.59"/>
    <n v="58"/>
    <n v="3.82"/>
    <x v="0"/>
    <m/>
  </r>
  <r>
    <s v="ti.14106"/>
    <x v="0"/>
    <x v="0"/>
    <x v="2"/>
    <s v="横浜市保土ケ谷区"/>
    <x v="7"/>
    <x v="14"/>
    <x v="14"/>
    <x v="14"/>
    <x v="14"/>
    <n v="69"/>
    <n v="2.39"/>
    <n v="15"/>
    <n v="1.0900000000000001"/>
    <n v="54"/>
    <n v="3.56"/>
    <x v="0"/>
    <m/>
  </r>
  <r>
    <s v="ti.14107"/>
    <x v="0"/>
    <x v="0"/>
    <x v="2"/>
    <s v="横浜市磯子区"/>
    <x v="8"/>
    <x v="0"/>
    <x v="0"/>
    <x v="0"/>
    <x v="0"/>
    <n v="0"/>
    <n v="0"/>
    <n v="0"/>
    <n v="0"/>
    <n v="0"/>
    <n v="0"/>
    <x v="0"/>
    <n v="0"/>
  </r>
  <r>
    <s v="ti.14107"/>
    <x v="0"/>
    <x v="0"/>
    <x v="2"/>
    <s v="横浜市磯子区"/>
    <x v="8"/>
    <x v="1"/>
    <x v="1"/>
    <x v="1"/>
    <x v="1"/>
    <n v="336"/>
    <n v="14.81"/>
    <n v="42"/>
    <n v="4.3"/>
    <n v="293"/>
    <n v="22.77"/>
    <x v="14"/>
    <n v="20"/>
  </r>
  <r>
    <s v="ti.14107"/>
    <x v="0"/>
    <x v="0"/>
    <x v="2"/>
    <s v="横浜市磯子区"/>
    <x v="8"/>
    <x v="2"/>
    <x v="2"/>
    <x v="2"/>
    <x v="2"/>
    <n v="101"/>
    <n v="4.45"/>
    <n v="19"/>
    <n v="1.94"/>
    <n v="82"/>
    <n v="6.37"/>
    <x v="0"/>
    <n v="0"/>
  </r>
  <r>
    <s v="ti.14107"/>
    <x v="0"/>
    <x v="0"/>
    <x v="2"/>
    <s v="横浜市磯子区"/>
    <x v="8"/>
    <x v="3"/>
    <x v="3"/>
    <x v="3"/>
    <x v="3"/>
    <n v="0"/>
    <n v="0"/>
    <n v="0"/>
    <n v="0"/>
    <n v="0"/>
    <n v="0"/>
    <x v="0"/>
    <n v="0"/>
  </r>
  <r>
    <s v="ti.14107"/>
    <x v="0"/>
    <x v="0"/>
    <x v="2"/>
    <s v="横浜市磯子区"/>
    <x v="8"/>
    <x v="4"/>
    <x v="4"/>
    <x v="4"/>
    <x v="4"/>
    <n v="32"/>
    <n v="1.41"/>
    <n v="0"/>
    <n v="0"/>
    <n v="32"/>
    <n v="2.4900000000000002"/>
    <x v="0"/>
    <n v="0"/>
  </r>
  <r>
    <s v="ti.14107"/>
    <x v="0"/>
    <x v="0"/>
    <x v="2"/>
    <s v="横浜市磯子区"/>
    <x v="8"/>
    <x v="5"/>
    <x v="5"/>
    <x v="5"/>
    <x v="5"/>
    <n v="34"/>
    <n v="1.5"/>
    <n v="11"/>
    <n v="1.1299999999999999"/>
    <n v="23"/>
    <n v="1.79"/>
    <x v="0"/>
    <n v="0"/>
  </r>
  <r>
    <s v="ti.14107"/>
    <x v="0"/>
    <x v="0"/>
    <x v="2"/>
    <s v="横浜市磯子区"/>
    <x v="8"/>
    <x v="6"/>
    <x v="6"/>
    <x v="6"/>
    <x v="6"/>
    <n v="460"/>
    <n v="20.27"/>
    <n v="177"/>
    <n v="18.12"/>
    <n v="283"/>
    <n v="21.99"/>
    <x v="0"/>
    <n v="0"/>
  </r>
  <r>
    <s v="ti.14107"/>
    <x v="0"/>
    <x v="0"/>
    <x v="2"/>
    <s v="横浜市磯子区"/>
    <x v="8"/>
    <x v="7"/>
    <x v="7"/>
    <x v="7"/>
    <x v="7"/>
    <n v="8"/>
    <n v="0.35"/>
    <n v="0"/>
    <n v="0"/>
    <n v="8"/>
    <n v="0.62"/>
    <x v="0"/>
    <n v="0"/>
  </r>
  <r>
    <s v="ti.14107"/>
    <x v="0"/>
    <x v="0"/>
    <x v="2"/>
    <s v="横浜市磯子区"/>
    <x v="8"/>
    <x v="8"/>
    <x v="8"/>
    <x v="8"/>
    <x v="8"/>
    <n v="307"/>
    <n v="13.53"/>
    <n v="113"/>
    <n v="11.57"/>
    <n v="193"/>
    <n v="15"/>
    <x v="14"/>
    <n v="20"/>
  </r>
  <r>
    <s v="ti.14107"/>
    <x v="0"/>
    <x v="0"/>
    <x v="2"/>
    <s v="横浜市磯子区"/>
    <x v="8"/>
    <x v="9"/>
    <x v="9"/>
    <x v="9"/>
    <x v="9"/>
    <n v="128"/>
    <n v="5.64"/>
    <n v="43"/>
    <n v="4.4000000000000004"/>
    <n v="85"/>
    <n v="6.6"/>
    <x v="0"/>
    <n v="0"/>
  </r>
  <r>
    <s v="ti.14107"/>
    <x v="0"/>
    <x v="0"/>
    <x v="2"/>
    <s v="横浜市磯子区"/>
    <x v="8"/>
    <x v="10"/>
    <x v="10"/>
    <x v="10"/>
    <x v="10"/>
    <n v="308"/>
    <n v="13.57"/>
    <n v="235"/>
    <n v="24.05"/>
    <n v="72"/>
    <n v="5.59"/>
    <x v="14"/>
    <n v="20"/>
  </r>
  <r>
    <s v="ti.14107"/>
    <x v="0"/>
    <x v="0"/>
    <x v="2"/>
    <s v="横浜市磯子区"/>
    <x v="8"/>
    <x v="11"/>
    <x v="11"/>
    <x v="11"/>
    <x v="11"/>
    <n v="284"/>
    <n v="12.52"/>
    <n v="188"/>
    <n v="19.239999999999998"/>
    <n v="96"/>
    <n v="7.46"/>
    <x v="0"/>
    <n v="0"/>
  </r>
  <r>
    <s v="ti.14107"/>
    <x v="0"/>
    <x v="0"/>
    <x v="2"/>
    <s v="横浜市磯子区"/>
    <x v="8"/>
    <x v="12"/>
    <x v="12"/>
    <x v="12"/>
    <x v="12"/>
    <n v="78"/>
    <n v="3.44"/>
    <n v="61"/>
    <n v="6.24"/>
    <n v="17"/>
    <n v="1.32"/>
    <x v="0"/>
    <n v="0"/>
  </r>
  <r>
    <s v="ti.14107"/>
    <x v="0"/>
    <x v="0"/>
    <x v="2"/>
    <s v="横浜市磯子区"/>
    <x v="8"/>
    <x v="13"/>
    <x v="13"/>
    <x v="13"/>
    <x v="13"/>
    <n v="127"/>
    <n v="5.6"/>
    <n v="79"/>
    <n v="8.09"/>
    <n v="46"/>
    <n v="3.57"/>
    <x v="13"/>
    <n v="40"/>
  </r>
  <r>
    <s v="ti.14107"/>
    <x v="0"/>
    <x v="0"/>
    <x v="2"/>
    <s v="横浜市磯子区"/>
    <x v="8"/>
    <x v="14"/>
    <x v="14"/>
    <x v="14"/>
    <x v="14"/>
    <n v="66"/>
    <n v="2.91"/>
    <n v="9"/>
    <n v="0.92"/>
    <n v="57"/>
    <n v="4.43"/>
    <x v="0"/>
    <n v="0"/>
  </r>
  <r>
    <s v="ti.14108"/>
    <x v="0"/>
    <x v="0"/>
    <x v="2"/>
    <s v="横浜市金沢区"/>
    <x v="9"/>
    <x v="0"/>
    <x v="0"/>
    <x v="0"/>
    <x v="0"/>
    <n v="0"/>
    <n v="0"/>
    <n v="0"/>
    <n v="0"/>
    <n v="0"/>
    <n v="0"/>
    <x v="0"/>
    <n v="0"/>
  </r>
  <r>
    <s v="ti.14108"/>
    <x v="0"/>
    <x v="0"/>
    <x v="2"/>
    <s v="横浜市金沢区"/>
    <x v="9"/>
    <x v="1"/>
    <x v="1"/>
    <x v="1"/>
    <x v="1"/>
    <n v="287"/>
    <n v="11.16"/>
    <n v="45"/>
    <n v="4.08"/>
    <n v="241"/>
    <n v="16.46"/>
    <x v="14"/>
    <n v="33.33"/>
  </r>
  <r>
    <s v="ti.14108"/>
    <x v="0"/>
    <x v="0"/>
    <x v="2"/>
    <s v="横浜市金沢区"/>
    <x v="9"/>
    <x v="2"/>
    <x v="2"/>
    <x v="2"/>
    <x v="2"/>
    <n v="169"/>
    <n v="6.57"/>
    <n v="9"/>
    <n v="0.82"/>
    <n v="160"/>
    <n v="10.93"/>
    <x v="0"/>
    <n v="0"/>
  </r>
  <r>
    <s v="ti.14108"/>
    <x v="0"/>
    <x v="0"/>
    <x v="2"/>
    <s v="横浜市金沢区"/>
    <x v="9"/>
    <x v="3"/>
    <x v="3"/>
    <x v="3"/>
    <x v="3"/>
    <n v="0"/>
    <n v="0"/>
    <n v="0"/>
    <n v="0"/>
    <n v="0"/>
    <n v="0"/>
    <x v="0"/>
    <n v="0"/>
  </r>
  <r>
    <s v="ti.14108"/>
    <x v="0"/>
    <x v="0"/>
    <x v="2"/>
    <s v="横浜市金沢区"/>
    <x v="9"/>
    <x v="4"/>
    <x v="4"/>
    <x v="4"/>
    <x v="4"/>
    <n v="38"/>
    <n v="1.48"/>
    <n v="1"/>
    <n v="0.09"/>
    <n v="37"/>
    <n v="2.5299999999999998"/>
    <x v="0"/>
    <n v="0"/>
  </r>
  <r>
    <s v="ti.14108"/>
    <x v="0"/>
    <x v="0"/>
    <x v="2"/>
    <s v="横浜市金沢区"/>
    <x v="9"/>
    <x v="5"/>
    <x v="5"/>
    <x v="5"/>
    <x v="5"/>
    <n v="38"/>
    <n v="1.48"/>
    <n v="9"/>
    <n v="0.82"/>
    <n v="29"/>
    <n v="1.98"/>
    <x v="0"/>
    <n v="0"/>
  </r>
  <r>
    <s v="ti.14108"/>
    <x v="0"/>
    <x v="0"/>
    <x v="2"/>
    <s v="横浜市金沢区"/>
    <x v="9"/>
    <x v="6"/>
    <x v="6"/>
    <x v="6"/>
    <x v="6"/>
    <n v="608"/>
    <n v="23.65"/>
    <n v="186"/>
    <n v="16.850000000000001"/>
    <n v="421"/>
    <n v="28.76"/>
    <x v="14"/>
    <n v="33.33"/>
  </r>
  <r>
    <s v="ti.14108"/>
    <x v="0"/>
    <x v="0"/>
    <x v="2"/>
    <s v="横浜市金沢区"/>
    <x v="9"/>
    <x v="7"/>
    <x v="7"/>
    <x v="7"/>
    <x v="7"/>
    <n v="16"/>
    <n v="0.62"/>
    <n v="1"/>
    <n v="0.09"/>
    <n v="15"/>
    <n v="1.02"/>
    <x v="0"/>
    <n v="0"/>
  </r>
  <r>
    <s v="ti.14108"/>
    <x v="0"/>
    <x v="0"/>
    <x v="2"/>
    <s v="横浜市金沢区"/>
    <x v="9"/>
    <x v="8"/>
    <x v="8"/>
    <x v="8"/>
    <x v="8"/>
    <n v="386"/>
    <n v="15.01"/>
    <n v="220"/>
    <n v="19.93"/>
    <n v="165"/>
    <n v="11.27"/>
    <x v="14"/>
    <n v="33.33"/>
  </r>
  <r>
    <s v="ti.14108"/>
    <x v="0"/>
    <x v="0"/>
    <x v="2"/>
    <s v="横浜市金沢区"/>
    <x v="9"/>
    <x v="9"/>
    <x v="9"/>
    <x v="9"/>
    <x v="9"/>
    <n v="140"/>
    <n v="5.45"/>
    <n v="54"/>
    <n v="4.8899999999999997"/>
    <n v="86"/>
    <n v="5.87"/>
    <x v="0"/>
    <n v="0"/>
  </r>
  <r>
    <s v="ti.14108"/>
    <x v="0"/>
    <x v="0"/>
    <x v="2"/>
    <s v="横浜市金沢区"/>
    <x v="9"/>
    <x v="10"/>
    <x v="10"/>
    <x v="10"/>
    <x v="10"/>
    <n v="219"/>
    <n v="8.52"/>
    <n v="161"/>
    <n v="14.58"/>
    <n v="58"/>
    <n v="3.96"/>
    <x v="0"/>
    <n v="0"/>
  </r>
  <r>
    <s v="ti.14108"/>
    <x v="0"/>
    <x v="0"/>
    <x v="2"/>
    <s v="横浜市金沢区"/>
    <x v="9"/>
    <x v="11"/>
    <x v="11"/>
    <x v="11"/>
    <x v="11"/>
    <n v="345"/>
    <n v="13.42"/>
    <n v="231"/>
    <n v="20.92"/>
    <n v="114"/>
    <n v="7.79"/>
    <x v="0"/>
    <n v="0"/>
  </r>
  <r>
    <s v="ti.14108"/>
    <x v="0"/>
    <x v="0"/>
    <x v="2"/>
    <s v="横浜市金沢区"/>
    <x v="9"/>
    <x v="12"/>
    <x v="12"/>
    <x v="12"/>
    <x v="12"/>
    <n v="103"/>
    <n v="4.01"/>
    <n v="72"/>
    <n v="6.52"/>
    <n v="31"/>
    <n v="2.12"/>
    <x v="0"/>
    <n v="0"/>
  </r>
  <r>
    <s v="ti.14108"/>
    <x v="0"/>
    <x v="0"/>
    <x v="2"/>
    <s v="横浜市金沢区"/>
    <x v="9"/>
    <x v="13"/>
    <x v="13"/>
    <x v="13"/>
    <x v="13"/>
    <n v="149"/>
    <n v="5.8"/>
    <n v="106"/>
    <n v="9.6"/>
    <n v="43"/>
    <n v="2.94"/>
    <x v="0"/>
    <n v="0"/>
  </r>
  <r>
    <s v="ti.14108"/>
    <x v="0"/>
    <x v="0"/>
    <x v="2"/>
    <s v="横浜市金沢区"/>
    <x v="9"/>
    <x v="14"/>
    <x v="14"/>
    <x v="14"/>
    <x v="14"/>
    <n v="73"/>
    <n v="2.84"/>
    <n v="9"/>
    <n v="0.82"/>
    <n v="64"/>
    <n v="4.37"/>
    <x v="0"/>
    <n v="0"/>
  </r>
  <r>
    <s v="ti.14109"/>
    <x v="0"/>
    <x v="0"/>
    <x v="2"/>
    <s v="横浜市港北区"/>
    <x v="10"/>
    <x v="0"/>
    <x v="0"/>
    <x v="0"/>
    <x v="0"/>
    <n v="0"/>
    <n v="0"/>
    <n v="0"/>
    <n v="0"/>
    <n v="0"/>
    <n v="0"/>
    <x v="0"/>
    <n v="0"/>
  </r>
  <r>
    <s v="ti.14109"/>
    <x v="0"/>
    <x v="0"/>
    <x v="2"/>
    <s v="横浜市港北区"/>
    <x v="10"/>
    <x v="1"/>
    <x v="1"/>
    <x v="1"/>
    <x v="1"/>
    <n v="634"/>
    <n v="10.57"/>
    <n v="82"/>
    <n v="3.68"/>
    <n v="552"/>
    <n v="14.66"/>
    <x v="0"/>
    <n v="0"/>
  </r>
  <r>
    <s v="ti.14109"/>
    <x v="0"/>
    <x v="0"/>
    <x v="2"/>
    <s v="横浜市港北区"/>
    <x v="10"/>
    <x v="2"/>
    <x v="2"/>
    <x v="2"/>
    <x v="2"/>
    <n v="849"/>
    <n v="14.15"/>
    <n v="121"/>
    <n v="5.43"/>
    <n v="728"/>
    <n v="19.34"/>
    <x v="0"/>
    <n v="0"/>
  </r>
  <r>
    <s v="ti.14109"/>
    <x v="0"/>
    <x v="0"/>
    <x v="2"/>
    <s v="横浜市港北区"/>
    <x v="10"/>
    <x v="3"/>
    <x v="3"/>
    <x v="3"/>
    <x v="3"/>
    <n v="0"/>
    <n v="0"/>
    <n v="0"/>
    <n v="0"/>
    <n v="0"/>
    <n v="0"/>
    <x v="0"/>
    <n v="0"/>
  </r>
  <r>
    <s v="ti.14109"/>
    <x v="0"/>
    <x v="0"/>
    <x v="2"/>
    <s v="横浜市港北区"/>
    <x v="10"/>
    <x v="4"/>
    <x v="4"/>
    <x v="4"/>
    <x v="4"/>
    <n v="117"/>
    <n v="1.95"/>
    <n v="0"/>
    <n v="0"/>
    <n v="116"/>
    <n v="3.08"/>
    <x v="14"/>
    <n v="25"/>
  </r>
  <r>
    <s v="ti.14109"/>
    <x v="0"/>
    <x v="0"/>
    <x v="2"/>
    <s v="横浜市港北区"/>
    <x v="10"/>
    <x v="5"/>
    <x v="5"/>
    <x v="5"/>
    <x v="5"/>
    <n v="30"/>
    <n v="0.5"/>
    <n v="8"/>
    <n v="0.36"/>
    <n v="22"/>
    <n v="0.57999999999999996"/>
    <x v="0"/>
    <n v="0"/>
  </r>
  <r>
    <s v="ti.14109"/>
    <x v="0"/>
    <x v="0"/>
    <x v="2"/>
    <s v="横浜市港北区"/>
    <x v="10"/>
    <x v="6"/>
    <x v="6"/>
    <x v="6"/>
    <x v="6"/>
    <n v="1139"/>
    <n v="18.989999999999998"/>
    <n v="320"/>
    <n v="14.36"/>
    <n v="819"/>
    <n v="21.75"/>
    <x v="0"/>
    <n v="0"/>
  </r>
  <r>
    <s v="ti.14109"/>
    <x v="0"/>
    <x v="0"/>
    <x v="2"/>
    <s v="横浜市港北区"/>
    <x v="10"/>
    <x v="7"/>
    <x v="7"/>
    <x v="7"/>
    <x v="7"/>
    <n v="31"/>
    <n v="0.52"/>
    <n v="1"/>
    <n v="0.04"/>
    <n v="30"/>
    <n v="0.8"/>
    <x v="0"/>
    <n v="0"/>
  </r>
  <r>
    <s v="ti.14109"/>
    <x v="0"/>
    <x v="0"/>
    <x v="2"/>
    <s v="横浜市港北区"/>
    <x v="10"/>
    <x v="8"/>
    <x v="8"/>
    <x v="8"/>
    <x v="8"/>
    <n v="1101"/>
    <n v="18.36"/>
    <n v="480"/>
    <n v="21.53"/>
    <n v="621"/>
    <n v="16.489999999999998"/>
    <x v="0"/>
    <n v="0"/>
  </r>
  <r>
    <s v="ti.14109"/>
    <x v="0"/>
    <x v="0"/>
    <x v="2"/>
    <s v="横浜市港北区"/>
    <x v="10"/>
    <x v="9"/>
    <x v="9"/>
    <x v="9"/>
    <x v="9"/>
    <n v="354"/>
    <n v="5.9"/>
    <n v="115"/>
    <n v="5.16"/>
    <n v="239"/>
    <n v="6.35"/>
    <x v="0"/>
    <n v="0"/>
  </r>
  <r>
    <s v="ti.14109"/>
    <x v="0"/>
    <x v="0"/>
    <x v="2"/>
    <s v="横浜市港北区"/>
    <x v="10"/>
    <x v="10"/>
    <x v="10"/>
    <x v="10"/>
    <x v="10"/>
    <n v="530"/>
    <n v="8.84"/>
    <n v="387"/>
    <n v="17.36"/>
    <n v="142"/>
    <n v="3.77"/>
    <x v="14"/>
    <n v="25"/>
  </r>
  <r>
    <s v="ti.14109"/>
    <x v="0"/>
    <x v="0"/>
    <x v="2"/>
    <s v="横浜市港北区"/>
    <x v="10"/>
    <x v="11"/>
    <x v="11"/>
    <x v="11"/>
    <x v="11"/>
    <n v="548"/>
    <n v="9.14"/>
    <n v="365"/>
    <n v="16.38"/>
    <n v="183"/>
    <n v="4.8600000000000003"/>
    <x v="0"/>
    <n v="0"/>
  </r>
  <r>
    <s v="ti.14109"/>
    <x v="0"/>
    <x v="0"/>
    <x v="2"/>
    <s v="横浜市港北区"/>
    <x v="10"/>
    <x v="12"/>
    <x v="12"/>
    <x v="12"/>
    <x v="12"/>
    <n v="170"/>
    <n v="2.83"/>
    <n v="105"/>
    <n v="4.71"/>
    <n v="65"/>
    <n v="1.73"/>
    <x v="0"/>
    <n v="0"/>
  </r>
  <r>
    <s v="ti.14109"/>
    <x v="0"/>
    <x v="0"/>
    <x v="2"/>
    <s v="横浜市港北区"/>
    <x v="10"/>
    <x v="13"/>
    <x v="13"/>
    <x v="13"/>
    <x v="13"/>
    <n v="279"/>
    <n v="4.6500000000000004"/>
    <n v="196"/>
    <n v="8.7899999999999991"/>
    <n v="82"/>
    <n v="2.1800000000000002"/>
    <x v="14"/>
    <n v="25"/>
  </r>
  <r>
    <s v="ti.14109"/>
    <x v="0"/>
    <x v="0"/>
    <x v="2"/>
    <s v="横浜市港北区"/>
    <x v="10"/>
    <x v="14"/>
    <x v="14"/>
    <x v="14"/>
    <x v="14"/>
    <n v="216"/>
    <n v="3.6"/>
    <n v="49"/>
    <n v="2.2000000000000002"/>
    <n v="166"/>
    <n v="4.41"/>
    <x v="14"/>
    <n v="25"/>
  </r>
  <r>
    <s v="ti.14110"/>
    <x v="0"/>
    <x v="0"/>
    <x v="2"/>
    <s v="横浜市戸塚区"/>
    <x v="11"/>
    <x v="0"/>
    <x v="0"/>
    <x v="0"/>
    <x v="0"/>
    <n v="0"/>
    <n v="0"/>
    <n v="0"/>
    <n v="0"/>
    <n v="0"/>
    <n v="0"/>
    <x v="0"/>
    <n v="0"/>
  </r>
  <r>
    <s v="ti.14110"/>
    <x v="0"/>
    <x v="0"/>
    <x v="2"/>
    <s v="横浜市戸塚区"/>
    <x v="11"/>
    <x v="1"/>
    <x v="1"/>
    <x v="1"/>
    <x v="1"/>
    <n v="559"/>
    <n v="18.53"/>
    <n v="70"/>
    <n v="6.33"/>
    <n v="489"/>
    <n v="25.67"/>
    <x v="0"/>
    <n v="0"/>
  </r>
  <r>
    <s v="ti.14110"/>
    <x v="0"/>
    <x v="0"/>
    <x v="2"/>
    <s v="横浜市戸塚区"/>
    <x v="11"/>
    <x v="2"/>
    <x v="2"/>
    <x v="2"/>
    <x v="2"/>
    <n v="179"/>
    <n v="5.94"/>
    <n v="35"/>
    <n v="3.16"/>
    <n v="144"/>
    <n v="7.56"/>
    <x v="0"/>
    <n v="0"/>
  </r>
  <r>
    <s v="ti.14110"/>
    <x v="0"/>
    <x v="0"/>
    <x v="2"/>
    <s v="横浜市戸塚区"/>
    <x v="11"/>
    <x v="3"/>
    <x v="3"/>
    <x v="3"/>
    <x v="3"/>
    <n v="0"/>
    <n v="0"/>
    <n v="0"/>
    <n v="0"/>
    <n v="0"/>
    <n v="0"/>
    <x v="0"/>
    <n v="0"/>
  </r>
  <r>
    <s v="ti.14110"/>
    <x v="0"/>
    <x v="0"/>
    <x v="2"/>
    <s v="横浜市戸塚区"/>
    <x v="11"/>
    <x v="4"/>
    <x v="4"/>
    <x v="4"/>
    <x v="4"/>
    <n v="37"/>
    <n v="1.23"/>
    <n v="2"/>
    <n v="0.18"/>
    <n v="35"/>
    <n v="1.84"/>
    <x v="0"/>
    <n v="0"/>
  </r>
  <r>
    <s v="ti.14110"/>
    <x v="0"/>
    <x v="0"/>
    <x v="2"/>
    <s v="横浜市戸塚区"/>
    <x v="11"/>
    <x v="5"/>
    <x v="5"/>
    <x v="5"/>
    <x v="5"/>
    <n v="26"/>
    <n v="0.86"/>
    <n v="14"/>
    <n v="1.27"/>
    <n v="12"/>
    <n v="0.63"/>
    <x v="0"/>
    <n v="0"/>
  </r>
  <r>
    <s v="ti.14110"/>
    <x v="0"/>
    <x v="0"/>
    <x v="2"/>
    <s v="横浜市戸塚区"/>
    <x v="11"/>
    <x v="6"/>
    <x v="6"/>
    <x v="6"/>
    <x v="6"/>
    <n v="620"/>
    <n v="20.56"/>
    <n v="157"/>
    <n v="14.2"/>
    <n v="462"/>
    <n v="24.25"/>
    <x v="14"/>
    <n v="20"/>
  </r>
  <r>
    <s v="ti.14110"/>
    <x v="0"/>
    <x v="0"/>
    <x v="2"/>
    <s v="横浜市戸塚区"/>
    <x v="11"/>
    <x v="7"/>
    <x v="7"/>
    <x v="7"/>
    <x v="7"/>
    <n v="24"/>
    <n v="0.8"/>
    <n v="3"/>
    <n v="0.27"/>
    <n v="21"/>
    <n v="1.1000000000000001"/>
    <x v="0"/>
    <n v="0"/>
  </r>
  <r>
    <s v="ti.14110"/>
    <x v="0"/>
    <x v="0"/>
    <x v="2"/>
    <s v="横浜市戸塚区"/>
    <x v="11"/>
    <x v="8"/>
    <x v="8"/>
    <x v="8"/>
    <x v="8"/>
    <n v="332"/>
    <n v="11.01"/>
    <n v="55"/>
    <n v="4.97"/>
    <n v="276"/>
    <n v="14.49"/>
    <x v="14"/>
    <n v="20"/>
  </r>
  <r>
    <s v="ti.14110"/>
    <x v="0"/>
    <x v="0"/>
    <x v="2"/>
    <s v="横浜市戸塚区"/>
    <x v="11"/>
    <x v="9"/>
    <x v="9"/>
    <x v="9"/>
    <x v="9"/>
    <n v="169"/>
    <n v="5.6"/>
    <n v="67"/>
    <n v="6.06"/>
    <n v="102"/>
    <n v="5.35"/>
    <x v="0"/>
    <n v="0"/>
  </r>
  <r>
    <s v="ti.14110"/>
    <x v="0"/>
    <x v="0"/>
    <x v="2"/>
    <s v="横浜市戸塚区"/>
    <x v="11"/>
    <x v="10"/>
    <x v="10"/>
    <x v="10"/>
    <x v="10"/>
    <n v="274"/>
    <n v="9.08"/>
    <n v="209"/>
    <n v="18.899999999999999"/>
    <n v="65"/>
    <n v="3.41"/>
    <x v="0"/>
    <n v="0"/>
  </r>
  <r>
    <s v="ti.14110"/>
    <x v="0"/>
    <x v="0"/>
    <x v="2"/>
    <s v="横浜市戸塚区"/>
    <x v="11"/>
    <x v="11"/>
    <x v="11"/>
    <x v="11"/>
    <x v="11"/>
    <n v="406"/>
    <n v="13.46"/>
    <n v="283"/>
    <n v="25.59"/>
    <n v="123"/>
    <n v="6.46"/>
    <x v="0"/>
    <n v="0"/>
  </r>
  <r>
    <s v="ti.14110"/>
    <x v="0"/>
    <x v="0"/>
    <x v="2"/>
    <s v="横浜市戸塚区"/>
    <x v="11"/>
    <x v="12"/>
    <x v="12"/>
    <x v="12"/>
    <x v="12"/>
    <n v="151"/>
    <n v="5.01"/>
    <n v="101"/>
    <n v="9.1300000000000008"/>
    <n v="50"/>
    <n v="2.62"/>
    <x v="0"/>
    <n v="0"/>
  </r>
  <r>
    <s v="ti.14110"/>
    <x v="0"/>
    <x v="0"/>
    <x v="2"/>
    <s v="横浜市戸塚区"/>
    <x v="11"/>
    <x v="13"/>
    <x v="13"/>
    <x v="13"/>
    <x v="13"/>
    <n v="156"/>
    <n v="5.17"/>
    <n v="96"/>
    <n v="8.68"/>
    <n v="57"/>
    <n v="2.99"/>
    <x v="2"/>
    <n v="60"/>
  </r>
  <r>
    <s v="ti.14110"/>
    <x v="0"/>
    <x v="0"/>
    <x v="2"/>
    <s v="横浜市戸塚区"/>
    <x v="11"/>
    <x v="14"/>
    <x v="14"/>
    <x v="14"/>
    <x v="14"/>
    <n v="83"/>
    <n v="2.75"/>
    <n v="14"/>
    <n v="1.27"/>
    <n v="69"/>
    <n v="3.62"/>
    <x v="0"/>
    <n v="0"/>
  </r>
  <r>
    <s v="ti.14111"/>
    <x v="0"/>
    <x v="0"/>
    <x v="2"/>
    <s v="横浜市港南区"/>
    <x v="12"/>
    <x v="0"/>
    <x v="0"/>
    <x v="0"/>
    <x v="0"/>
    <n v="0"/>
    <n v="0"/>
    <n v="0"/>
    <n v="0"/>
    <n v="0"/>
    <n v="0"/>
    <x v="0"/>
    <n v="0"/>
  </r>
  <r>
    <s v="ti.14111"/>
    <x v="0"/>
    <x v="0"/>
    <x v="2"/>
    <s v="横浜市港南区"/>
    <x v="12"/>
    <x v="1"/>
    <x v="1"/>
    <x v="1"/>
    <x v="1"/>
    <n v="512"/>
    <n v="15.88"/>
    <n v="65"/>
    <n v="4.43"/>
    <n v="447"/>
    <n v="25.46"/>
    <x v="0"/>
    <n v="0"/>
  </r>
  <r>
    <s v="ti.14111"/>
    <x v="0"/>
    <x v="0"/>
    <x v="2"/>
    <s v="横浜市港南区"/>
    <x v="12"/>
    <x v="2"/>
    <x v="2"/>
    <x v="2"/>
    <x v="2"/>
    <n v="115"/>
    <n v="3.57"/>
    <n v="21"/>
    <n v="1.43"/>
    <n v="94"/>
    <n v="5.35"/>
    <x v="0"/>
    <n v="0"/>
  </r>
  <r>
    <s v="ti.14111"/>
    <x v="0"/>
    <x v="0"/>
    <x v="2"/>
    <s v="横浜市港南区"/>
    <x v="12"/>
    <x v="3"/>
    <x v="3"/>
    <x v="3"/>
    <x v="3"/>
    <n v="0"/>
    <n v="0"/>
    <n v="0"/>
    <n v="0"/>
    <n v="0"/>
    <n v="0"/>
    <x v="0"/>
    <n v="0"/>
  </r>
  <r>
    <s v="ti.14111"/>
    <x v="0"/>
    <x v="0"/>
    <x v="2"/>
    <s v="横浜市港南区"/>
    <x v="12"/>
    <x v="4"/>
    <x v="4"/>
    <x v="4"/>
    <x v="4"/>
    <n v="35"/>
    <n v="1.0900000000000001"/>
    <n v="1"/>
    <n v="7.0000000000000007E-2"/>
    <n v="34"/>
    <n v="1.94"/>
    <x v="0"/>
    <n v="0"/>
  </r>
  <r>
    <s v="ti.14111"/>
    <x v="0"/>
    <x v="0"/>
    <x v="2"/>
    <s v="横浜市港南区"/>
    <x v="12"/>
    <x v="5"/>
    <x v="5"/>
    <x v="5"/>
    <x v="5"/>
    <n v="37"/>
    <n v="1.1499999999999999"/>
    <n v="27"/>
    <n v="1.84"/>
    <n v="10"/>
    <n v="0.56999999999999995"/>
    <x v="0"/>
    <n v="0"/>
  </r>
  <r>
    <s v="ti.14111"/>
    <x v="0"/>
    <x v="0"/>
    <x v="2"/>
    <s v="横浜市港南区"/>
    <x v="12"/>
    <x v="6"/>
    <x v="6"/>
    <x v="6"/>
    <x v="6"/>
    <n v="574"/>
    <n v="17.8"/>
    <n v="189"/>
    <n v="12.88"/>
    <n v="385"/>
    <n v="21.92"/>
    <x v="0"/>
    <n v="0"/>
  </r>
  <r>
    <s v="ti.14111"/>
    <x v="0"/>
    <x v="0"/>
    <x v="2"/>
    <s v="横浜市港南区"/>
    <x v="12"/>
    <x v="7"/>
    <x v="7"/>
    <x v="7"/>
    <x v="7"/>
    <n v="36"/>
    <n v="1.1200000000000001"/>
    <n v="4"/>
    <n v="0.27"/>
    <n v="32"/>
    <n v="1.82"/>
    <x v="0"/>
    <n v="0"/>
  </r>
  <r>
    <s v="ti.14111"/>
    <x v="0"/>
    <x v="0"/>
    <x v="2"/>
    <s v="横浜市港南区"/>
    <x v="12"/>
    <x v="8"/>
    <x v="8"/>
    <x v="8"/>
    <x v="8"/>
    <n v="573"/>
    <n v="17.77"/>
    <n v="290"/>
    <n v="19.77"/>
    <n v="283"/>
    <n v="16.12"/>
    <x v="0"/>
    <n v="0"/>
  </r>
  <r>
    <s v="ti.14111"/>
    <x v="0"/>
    <x v="0"/>
    <x v="2"/>
    <s v="横浜市港南区"/>
    <x v="12"/>
    <x v="9"/>
    <x v="9"/>
    <x v="9"/>
    <x v="9"/>
    <n v="189"/>
    <n v="5.86"/>
    <n v="85"/>
    <n v="5.79"/>
    <n v="104"/>
    <n v="5.92"/>
    <x v="0"/>
    <n v="0"/>
  </r>
  <r>
    <s v="ti.14111"/>
    <x v="0"/>
    <x v="0"/>
    <x v="2"/>
    <s v="横浜市港南区"/>
    <x v="12"/>
    <x v="10"/>
    <x v="10"/>
    <x v="10"/>
    <x v="10"/>
    <n v="320"/>
    <n v="9.93"/>
    <n v="250"/>
    <n v="17.04"/>
    <n v="70"/>
    <n v="3.99"/>
    <x v="0"/>
    <n v="0"/>
  </r>
  <r>
    <s v="ti.14111"/>
    <x v="0"/>
    <x v="0"/>
    <x v="2"/>
    <s v="横浜市港南区"/>
    <x v="12"/>
    <x v="11"/>
    <x v="11"/>
    <x v="11"/>
    <x v="11"/>
    <n v="422"/>
    <n v="13.09"/>
    <n v="289"/>
    <n v="19.7"/>
    <n v="133"/>
    <n v="7.57"/>
    <x v="0"/>
    <n v="0"/>
  </r>
  <r>
    <s v="ti.14111"/>
    <x v="0"/>
    <x v="0"/>
    <x v="2"/>
    <s v="横浜市港南区"/>
    <x v="12"/>
    <x v="12"/>
    <x v="12"/>
    <x v="12"/>
    <x v="12"/>
    <n v="166"/>
    <n v="5.15"/>
    <n v="112"/>
    <n v="7.63"/>
    <n v="54"/>
    <n v="3.08"/>
    <x v="0"/>
    <n v="0"/>
  </r>
  <r>
    <s v="ti.14111"/>
    <x v="0"/>
    <x v="0"/>
    <x v="2"/>
    <s v="横浜市港南区"/>
    <x v="12"/>
    <x v="13"/>
    <x v="13"/>
    <x v="13"/>
    <x v="13"/>
    <n v="171"/>
    <n v="5.3"/>
    <n v="119"/>
    <n v="8.11"/>
    <n v="51"/>
    <n v="2.9"/>
    <x v="14"/>
    <n v="100"/>
  </r>
  <r>
    <s v="ti.14111"/>
    <x v="0"/>
    <x v="0"/>
    <x v="2"/>
    <s v="横浜市港南区"/>
    <x v="12"/>
    <x v="14"/>
    <x v="14"/>
    <x v="14"/>
    <x v="14"/>
    <n v="74"/>
    <n v="2.2999999999999998"/>
    <n v="15"/>
    <n v="1.02"/>
    <n v="59"/>
    <n v="3.36"/>
    <x v="0"/>
    <n v="0"/>
  </r>
  <r>
    <s v="ti.14112"/>
    <x v="0"/>
    <x v="0"/>
    <x v="2"/>
    <s v="横浜市旭区"/>
    <x v="13"/>
    <x v="0"/>
    <x v="0"/>
    <x v="0"/>
    <x v="0"/>
    <n v="0"/>
    <n v="0"/>
    <n v="0"/>
    <n v="0"/>
    <n v="0"/>
    <n v="0"/>
    <x v="0"/>
    <n v="0"/>
  </r>
  <r>
    <s v="ti.14112"/>
    <x v="0"/>
    <x v="0"/>
    <x v="2"/>
    <s v="横浜市旭区"/>
    <x v="13"/>
    <x v="1"/>
    <x v="1"/>
    <x v="1"/>
    <x v="1"/>
    <n v="589"/>
    <n v="19.989999999999998"/>
    <n v="74"/>
    <n v="5.97"/>
    <n v="515"/>
    <n v="30.33"/>
    <x v="0"/>
    <n v="0"/>
  </r>
  <r>
    <s v="ti.14112"/>
    <x v="0"/>
    <x v="0"/>
    <x v="2"/>
    <s v="横浜市旭区"/>
    <x v="13"/>
    <x v="2"/>
    <x v="2"/>
    <x v="2"/>
    <x v="2"/>
    <n v="169"/>
    <n v="5.74"/>
    <n v="24"/>
    <n v="1.94"/>
    <n v="145"/>
    <n v="8.5399999999999991"/>
    <x v="0"/>
    <n v="0"/>
  </r>
  <r>
    <s v="ti.14112"/>
    <x v="0"/>
    <x v="0"/>
    <x v="2"/>
    <s v="横浜市旭区"/>
    <x v="13"/>
    <x v="3"/>
    <x v="3"/>
    <x v="3"/>
    <x v="3"/>
    <n v="0"/>
    <n v="0"/>
    <n v="0"/>
    <n v="0"/>
    <n v="0"/>
    <n v="0"/>
    <x v="0"/>
    <n v="0"/>
  </r>
  <r>
    <s v="ti.14112"/>
    <x v="0"/>
    <x v="0"/>
    <x v="2"/>
    <s v="横浜市旭区"/>
    <x v="13"/>
    <x v="4"/>
    <x v="4"/>
    <x v="4"/>
    <x v="4"/>
    <n v="38"/>
    <n v="1.29"/>
    <n v="0"/>
    <n v="0"/>
    <n v="38"/>
    <n v="2.2400000000000002"/>
    <x v="0"/>
    <n v="0"/>
  </r>
  <r>
    <s v="ti.14112"/>
    <x v="0"/>
    <x v="0"/>
    <x v="2"/>
    <s v="横浜市旭区"/>
    <x v="13"/>
    <x v="5"/>
    <x v="5"/>
    <x v="5"/>
    <x v="5"/>
    <n v="39"/>
    <n v="1.32"/>
    <n v="18"/>
    <n v="1.45"/>
    <n v="21"/>
    <n v="1.24"/>
    <x v="0"/>
    <n v="0"/>
  </r>
  <r>
    <s v="ti.14112"/>
    <x v="0"/>
    <x v="0"/>
    <x v="2"/>
    <s v="横浜市旭区"/>
    <x v="13"/>
    <x v="6"/>
    <x v="6"/>
    <x v="6"/>
    <x v="6"/>
    <n v="602"/>
    <n v="20.43"/>
    <n v="218"/>
    <n v="17.59"/>
    <n v="384"/>
    <n v="22.61"/>
    <x v="0"/>
    <n v="0"/>
  </r>
  <r>
    <s v="ti.14112"/>
    <x v="0"/>
    <x v="0"/>
    <x v="2"/>
    <s v="横浜市旭区"/>
    <x v="13"/>
    <x v="7"/>
    <x v="7"/>
    <x v="7"/>
    <x v="7"/>
    <n v="11"/>
    <n v="0.37"/>
    <n v="1"/>
    <n v="0.08"/>
    <n v="10"/>
    <n v="0.59"/>
    <x v="0"/>
    <n v="0"/>
  </r>
  <r>
    <s v="ti.14112"/>
    <x v="0"/>
    <x v="0"/>
    <x v="2"/>
    <s v="横浜市旭区"/>
    <x v="13"/>
    <x v="8"/>
    <x v="8"/>
    <x v="8"/>
    <x v="8"/>
    <n v="296"/>
    <n v="10.050000000000001"/>
    <n v="129"/>
    <n v="10.41"/>
    <n v="160"/>
    <n v="9.42"/>
    <x v="7"/>
    <n v="77.78"/>
  </r>
  <r>
    <s v="ti.14112"/>
    <x v="0"/>
    <x v="0"/>
    <x v="2"/>
    <s v="横浜市旭区"/>
    <x v="13"/>
    <x v="9"/>
    <x v="9"/>
    <x v="9"/>
    <x v="9"/>
    <n v="171"/>
    <n v="5.8"/>
    <n v="69"/>
    <n v="5.57"/>
    <n v="102"/>
    <n v="6.01"/>
    <x v="0"/>
    <n v="0"/>
  </r>
  <r>
    <s v="ti.14112"/>
    <x v="0"/>
    <x v="0"/>
    <x v="2"/>
    <s v="横浜市旭区"/>
    <x v="13"/>
    <x v="10"/>
    <x v="10"/>
    <x v="10"/>
    <x v="10"/>
    <n v="282"/>
    <n v="9.57"/>
    <n v="232"/>
    <n v="18.72"/>
    <n v="50"/>
    <n v="2.94"/>
    <x v="0"/>
    <n v="0"/>
  </r>
  <r>
    <s v="ti.14112"/>
    <x v="0"/>
    <x v="0"/>
    <x v="2"/>
    <s v="横浜市旭区"/>
    <x v="13"/>
    <x v="11"/>
    <x v="11"/>
    <x v="11"/>
    <x v="11"/>
    <n v="355"/>
    <n v="12.05"/>
    <n v="257"/>
    <n v="20.74"/>
    <n v="98"/>
    <n v="5.77"/>
    <x v="0"/>
    <n v="0"/>
  </r>
  <r>
    <s v="ti.14112"/>
    <x v="0"/>
    <x v="0"/>
    <x v="2"/>
    <s v="横浜市旭区"/>
    <x v="13"/>
    <x v="12"/>
    <x v="12"/>
    <x v="12"/>
    <x v="12"/>
    <n v="130"/>
    <n v="4.41"/>
    <n v="87"/>
    <n v="7.02"/>
    <n v="43"/>
    <n v="2.5299999999999998"/>
    <x v="0"/>
    <n v="0"/>
  </r>
  <r>
    <s v="ti.14112"/>
    <x v="0"/>
    <x v="0"/>
    <x v="2"/>
    <s v="横浜市旭区"/>
    <x v="13"/>
    <x v="13"/>
    <x v="13"/>
    <x v="13"/>
    <x v="13"/>
    <n v="157"/>
    <n v="5.33"/>
    <n v="102"/>
    <n v="8.23"/>
    <n v="54"/>
    <n v="3.18"/>
    <x v="14"/>
    <n v="11.11"/>
  </r>
  <r>
    <s v="ti.14112"/>
    <x v="0"/>
    <x v="0"/>
    <x v="2"/>
    <s v="横浜市旭区"/>
    <x v="13"/>
    <x v="14"/>
    <x v="14"/>
    <x v="14"/>
    <x v="14"/>
    <n v="107"/>
    <n v="3.63"/>
    <n v="28"/>
    <n v="2.2599999999999998"/>
    <n v="78"/>
    <n v="4.59"/>
    <x v="14"/>
    <n v="11.11"/>
  </r>
  <r>
    <s v="ti.14113"/>
    <x v="0"/>
    <x v="0"/>
    <x v="2"/>
    <s v="横浜市緑区"/>
    <x v="14"/>
    <x v="0"/>
    <x v="0"/>
    <x v="0"/>
    <x v="0"/>
    <n v="0"/>
    <n v="0"/>
    <n v="0"/>
    <n v="0"/>
    <n v="0"/>
    <n v="0"/>
    <x v="0"/>
    <n v="0"/>
  </r>
  <r>
    <s v="ti.14113"/>
    <x v="0"/>
    <x v="0"/>
    <x v="2"/>
    <s v="横浜市緑区"/>
    <x v="14"/>
    <x v="1"/>
    <x v="1"/>
    <x v="1"/>
    <x v="1"/>
    <n v="328"/>
    <n v="16.93"/>
    <n v="49"/>
    <n v="7"/>
    <n v="279"/>
    <n v="22.61"/>
    <x v="0"/>
    <n v="0"/>
  </r>
  <r>
    <s v="ti.14113"/>
    <x v="0"/>
    <x v="0"/>
    <x v="2"/>
    <s v="横浜市緑区"/>
    <x v="14"/>
    <x v="2"/>
    <x v="2"/>
    <x v="2"/>
    <x v="2"/>
    <n v="113"/>
    <n v="5.83"/>
    <n v="15"/>
    <n v="2.14"/>
    <n v="98"/>
    <n v="7.94"/>
    <x v="0"/>
    <n v="0"/>
  </r>
  <r>
    <s v="ti.14113"/>
    <x v="0"/>
    <x v="0"/>
    <x v="2"/>
    <s v="横浜市緑区"/>
    <x v="14"/>
    <x v="3"/>
    <x v="3"/>
    <x v="3"/>
    <x v="3"/>
    <n v="0"/>
    <n v="0"/>
    <n v="0"/>
    <n v="0"/>
    <n v="0"/>
    <n v="0"/>
    <x v="0"/>
    <n v="0"/>
  </r>
  <r>
    <s v="ti.14113"/>
    <x v="0"/>
    <x v="0"/>
    <x v="2"/>
    <s v="横浜市緑区"/>
    <x v="14"/>
    <x v="4"/>
    <x v="4"/>
    <x v="4"/>
    <x v="4"/>
    <n v="30"/>
    <n v="1.55"/>
    <n v="2"/>
    <n v="0.28999999999999998"/>
    <n v="28"/>
    <n v="2.27"/>
    <x v="0"/>
    <n v="0"/>
  </r>
  <r>
    <s v="ti.14113"/>
    <x v="0"/>
    <x v="0"/>
    <x v="2"/>
    <s v="横浜市緑区"/>
    <x v="14"/>
    <x v="5"/>
    <x v="5"/>
    <x v="5"/>
    <x v="5"/>
    <n v="24"/>
    <n v="1.24"/>
    <n v="9"/>
    <n v="1.29"/>
    <n v="15"/>
    <n v="1.22"/>
    <x v="0"/>
    <n v="0"/>
  </r>
  <r>
    <s v="ti.14113"/>
    <x v="0"/>
    <x v="0"/>
    <x v="2"/>
    <s v="横浜市緑区"/>
    <x v="14"/>
    <x v="6"/>
    <x v="6"/>
    <x v="6"/>
    <x v="6"/>
    <n v="413"/>
    <n v="21.32"/>
    <n v="124"/>
    <n v="17.71"/>
    <n v="288"/>
    <n v="23.34"/>
    <x v="14"/>
    <n v="33.33"/>
  </r>
  <r>
    <s v="ti.14113"/>
    <x v="0"/>
    <x v="0"/>
    <x v="2"/>
    <s v="横浜市緑区"/>
    <x v="14"/>
    <x v="7"/>
    <x v="7"/>
    <x v="7"/>
    <x v="7"/>
    <n v="17"/>
    <n v="0.88"/>
    <n v="0"/>
    <n v="0"/>
    <n v="17"/>
    <n v="1.38"/>
    <x v="0"/>
    <n v="0"/>
  </r>
  <r>
    <s v="ti.14113"/>
    <x v="0"/>
    <x v="0"/>
    <x v="2"/>
    <s v="横浜市緑区"/>
    <x v="14"/>
    <x v="8"/>
    <x v="8"/>
    <x v="8"/>
    <x v="8"/>
    <n v="207"/>
    <n v="10.69"/>
    <n v="33"/>
    <n v="4.71"/>
    <n v="174"/>
    <n v="14.1"/>
    <x v="0"/>
    <n v="0"/>
  </r>
  <r>
    <s v="ti.14113"/>
    <x v="0"/>
    <x v="0"/>
    <x v="2"/>
    <s v="横浜市緑区"/>
    <x v="14"/>
    <x v="9"/>
    <x v="9"/>
    <x v="9"/>
    <x v="9"/>
    <n v="119"/>
    <n v="6.14"/>
    <n v="48"/>
    <n v="6.86"/>
    <n v="71"/>
    <n v="5.75"/>
    <x v="0"/>
    <n v="0"/>
  </r>
  <r>
    <s v="ti.14113"/>
    <x v="0"/>
    <x v="0"/>
    <x v="2"/>
    <s v="横浜市緑区"/>
    <x v="14"/>
    <x v="10"/>
    <x v="10"/>
    <x v="10"/>
    <x v="10"/>
    <n v="193"/>
    <n v="9.9600000000000009"/>
    <n v="134"/>
    <n v="19.14"/>
    <n v="58"/>
    <n v="4.7"/>
    <x v="14"/>
    <n v="33.33"/>
  </r>
  <r>
    <s v="ti.14113"/>
    <x v="0"/>
    <x v="0"/>
    <x v="2"/>
    <s v="横浜市緑区"/>
    <x v="14"/>
    <x v="11"/>
    <x v="11"/>
    <x v="11"/>
    <x v="11"/>
    <n v="225"/>
    <n v="11.62"/>
    <n v="143"/>
    <n v="20.43"/>
    <n v="82"/>
    <n v="6.65"/>
    <x v="0"/>
    <n v="0"/>
  </r>
  <r>
    <s v="ti.14113"/>
    <x v="0"/>
    <x v="0"/>
    <x v="2"/>
    <s v="横浜市緑区"/>
    <x v="14"/>
    <x v="12"/>
    <x v="12"/>
    <x v="12"/>
    <x v="12"/>
    <n v="82"/>
    <n v="4.2300000000000004"/>
    <n v="50"/>
    <n v="7.14"/>
    <n v="32"/>
    <n v="2.59"/>
    <x v="0"/>
    <n v="0"/>
  </r>
  <r>
    <s v="ti.14113"/>
    <x v="0"/>
    <x v="0"/>
    <x v="2"/>
    <s v="横浜市緑区"/>
    <x v="14"/>
    <x v="13"/>
    <x v="13"/>
    <x v="13"/>
    <x v="13"/>
    <n v="113"/>
    <n v="5.83"/>
    <n v="76"/>
    <n v="10.86"/>
    <n v="36"/>
    <n v="2.92"/>
    <x v="14"/>
    <n v="33.33"/>
  </r>
  <r>
    <s v="ti.14113"/>
    <x v="0"/>
    <x v="0"/>
    <x v="2"/>
    <s v="横浜市緑区"/>
    <x v="14"/>
    <x v="14"/>
    <x v="14"/>
    <x v="14"/>
    <x v="14"/>
    <n v="73"/>
    <n v="3.77"/>
    <n v="17"/>
    <n v="2.4300000000000002"/>
    <n v="56"/>
    <n v="4.54"/>
    <x v="0"/>
    <n v="0"/>
  </r>
  <r>
    <s v="ti.14114"/>
    <x v="0"/>
    <x v="0"/>
    <x v="2"/>
    <s v="横浜市瀬谷区"/>
    <x v="15"/>
    <x v="0"/>
    <x v="0"/>
    <x v="0"/>
    <x v="0"/>
    <n v="0"/>
    <n v="0"/>
    <n v="0"/>
    <n v="0"/>
    <n v="0"/>
    <n v="0"/>
    <x v="0"/>
    <n v="0"/>
  </r>
  <r>
    <s v="ti.14114"/>
    <x v="0"/>
    <x v="0"/>
    <x v="2"/>
    <s v="横浜市瀬谷区"/>
    <x v="15"/>
    <x v="1"/>
    <x v="1"/>
    <x v="1"/>
    <x v="1"/>
    <n v="400"/>
    <n v="21.06"/>
    <n v="66"/>
    <n v="7.36"/>
    <n v="334"/>
    <n v="33.369999999999997"/>
    <x v="0"/>
    <n v="0"/>
  </r>
  <r>
    <s v="ti.14114"/>
    <x v="0"/>
    <x v="0"/>
    <x v="2"/>
    <s v="横浜市瀬谷区"/>
    <x v="15"/>
    <x v="2"/>
    <x v="2"/>
    <x v="2"/>
    <x v="2"/>
    <n v="100"/>
    <n v="5.27"/>
    <n v="17"/>
    <n v="1.9"/>
    <n v="83"/>
    <n v="8.2899999999999991"/>
    <x v="0"/>
    <n v="0"/>
  </r>
  <r>
    <s v="ti.14114"/>
    <x v="0"/>
    <x v="0"/>
    <x v="2"/>
    <s v="横浜市瀬谷区"/>
    <x v="15"/>
    <x v="3"/>
    <x v="3"/>
    <x v="3"/>
    <x v="3"/>
    <n v="0"/>
    <n v="0"/>
    <n v="0"/>
    <n v="0"/>
    <n v="0"/>
    <n v="0"/>
    <x v="0"/>
    <n v="0"/>
  </r>
  <r>
    <s v="ti.14114"/>
    <x v="0"/>
    <x v="0"/>
    <x v="2"/>
    <s v="横浜市瀬谷区"/>
    <x v="15"/>
    <x v="4"/>
    <x v="4"/>
    <x v="4"/>
    <x v="4"/>
    <n v="18"/>
    <n v="0.95"/>
    <n v="1"/>
    <n v="0.11"/>
    <n v="17"/>
    <n v="1.7"/>
    <x v="0"/>
    <n v="0"/>
  </r>
  <r>
    <s v="ti.14114"/>
    <x v="0"/>
    <x v="0"/>
    <x v="2"/>
    <s v="横浜市瀬谷区"/>
    <x v="15"/>
    <x v="5"/>
    <x v="5"/>
    <x v="5"/>
    <x v="5"/>
    <n v="23"/>
    <n v="1.21"/>
    <n v="13"/>
    <n v="1.45"/>
    <n v="10"/>
    <n v="1"/>
    <x v="0"/>
    <n v="0"/>
  </r>
  <r>
    <s v="ti.14114"/>
    <x v="0"/>
    <x v="0"/>
    <x v="2"/>
    <s v="横浜市瀬谷区"/>
    <x v="15"/>
    <x v="6"/>
    <x v="6"/>
    <x v="6"/>
    <x v="6"/>
    <n v="391"/>
    <n v="20.59"/>
    <n v="177"/>
    <n v="19.73"/>
    <n v="214"/>
    <n v="21.38"/>
    <x v="0"/>
    <n v="0"/>
  </r>
  <r>
    <s v="ti.14114"/>
    <x v="0"/>
    <x v="0"/>
    <x v="2"/>
    <s v="横浜市瀬谷区"/>
    <x v="15"/>
    <x v="7"/>
    <x v="7"/>
    <x v="7"/>
    <x v="7"/>
    <n v="11"/>
    <n v="0.57999999999999996"/>
    <n v="0"/>
    <n v="0"/>
    <n v="11"/>
    <n v="1.1000000000000001"/>
    <x v="0"/>
    <n v="0"/>
  </r>
  <r>
    <s v="ti.14114"/>
    <x v="0"/>
    <x v="0"/>
    <x v="2"/>
    <s v="横浜市瀬谷区"/>
    <x v="15"/>
    <x v="8"/>
    <x v="8"/>
    <x v="8"/>
    <x v="8"/>
    <n v="235"/>
    <n v="12.37"/>
    <n v="122"/>
    <n v="13.6"/>
    <n v="113"/>
    <n v="11.29"/>
    <x v="0"/>
    <n v="0"/>
  </r>
  <r>
    <s v="ti.14114"/>
    <x v="0"/>
    <x v="0"/>
    <x v="2"/>
    <s v="横浜市瀬谷区"/>
    <x v="15"/>
    <x v="9"/>
    <x v="9"/>
    <x v="9"/>
    <x v="9"/>
    <n v="79"/>
    <n v="4.16"/>
    <n v="36"/>
    <n v="4.01"/>
    <n v="43"/>
    <n v="4.3"/>
    <x v="0"/>
    <n v="0"/>
  </r>
  <r>
    <s v="ti.14114"/>
    <x v="0"/>
    <x v="0"/>
    <x v="2"/>
    <s v="横浜市瀬谷区"/>
    <x v="15"/>
    <x v="10"/>
    <x v="10"/>
    <x v="10"/>
    <x v="10"/>
    <n v="184"/>
    <n v="9.69"/>
    <n v="153"/>
    <n v="17.059999999999999"/>
    <n v="31"/>
    <n v="3.1"/>
    <x v="0"/>
    <n v="0"/>
  </r>
  <r>
    <s v="ti.14114"/>
    <x v="0"/>
    <x v="0"/>
    <x v="2"/>
    <s v="横浜市瀬谷区"/>
    <x v="15"/>
    <x v="11"/>
    <x v="11"/>
    <x v="11"/>
    <x v="11"/>
    <n v="228"/>
    <n v="12.01"/>
    <n v="177"/>
    <n v="19.73"/>
    <n v="51"/>
    <n v="5.09"/>
    <x v="0"/>
    <n v="0"/>
  </r>
  <r>
    <s v="ti.14114"/>
    <x v="0"/>
    <x v="0"/>
    <x v="2"/>
    <s v="横浜市瀬谷区"/>
    <x v="15"/>
    <x v="12"/>
    <x v="12"/>
    <x v="12"/>
    <x v="12"/>
    <n v="75"/>
    <n v="3.95"/>
    <n v="57"/>
    <n v="6.35"/>
    <n v="18"/>
    <n v="1.8"/>
    <x v="0"/>
    <n v="0"/>
  </r>
  <r>
    <s v="ti.14114"/>
    <x v="0"/>
    <x v="0"/>
    <x v="2"/>
    <s v="横浜市瀬谷区"/>
    <x v="15"/>
    <x v="13"/>
    <x v="13"/>
    <x v="13"/>
    <x v="13"/>
    <n v="97"/>
    <n v="5.1100000000000003"/>
    <n v="66"/>
    <n v="7.36"/>
    <n v="30"/>
    <n v="3"/>
    <x v="14"/>
    <n v="100"/>
  </r>
  <r>
    <s v="ti.14114"/>
    <x v="0"/>
    <x v="0"/>
    <x v="2"/>
    <s v="横浜市瀬谷区"/>
    <x v="15"/>
    <x v="14"/>
    <x v="14"/>
    <x v="14"/>
    <x v="14"/>
    <n v="58"/>
    <n v="3.05"/>
    <n v="12"/>
    <n v="1.34"/>
    <n v="46"/>
    <n v="4.5999999999999996"/>
    <x v="0"/>
    <n v="0"/>
  </r>
  <r>
    <s v="ti.14115"/>
    <x v="0"/>
    <x v="0"/>
    <x v="2"/>
    <s v="横浜市栄区"/>
    <x v="16"/>
    <x v="0"/>
    <x v="0"/>
    <x v="0"/>
    <x v="0"/>
    <n v="0"/>
    <n v="0"/>
    <n v="0"/>
    <n v="0"/>
    <n v="0"/>
    <n v="0"/>
    <x v="0"/>
    <n v="0"/>
  </r>
  <r>
    <s v="ti.14115"/>
    <x v="0"/>
    <x v="0"/>
    <x v="2"/>
    <s v="横浜市栄区"/>
    <x v="16"/>
    <x v="1"/>
    <x v="1"/>
    <x v="1"/>
    <x v="1"/>
    <n v="235"/>
    <n v="19.07"/>
    <n v="29"/>
    <n v="5.81"/>
    <n v="206"/>
    <n v="28.14"/>
    <x v="0"/>
    <n v="0"/>
  </r>
  <r>
    <s v="ti.14115"/>
    <x v="0"/>
    <x v="0"/>
    <x v="2"/>
    <s v="横浜市栄区"/>
    <x v="16"/>
    <x v="2"/>
    <x v="2"/>
    <x v="2"/>
    <x v="2"/>
    <n v="56"/>
    <n v="4.55"/>
    <n v="7"/>
    <n v="1.4"/>
    <n v="49"/>
    <n v="6.69"/>
    <x v="0"/>
    <n v="0"/>
  </r>
  <r>
    <s v="ti.14115"/>
    <x v="0"/>
    <x v="0"/>
    <x v="2"/>
    <s v="横浜市栄区"/>
    <x v="16"/>
    <x v="3"/>
    <x v="3"/>
    <x v="3"/>
    <x v="3"/>
    <n v="0"/>
    <n v="0"/>
    <n v="0"/>
    <n v="0"/>
    <n v="0"/>
    <n v="0"/>
    <x v="0"/>
    <n v="0"/>
  </r>
  <r>
    <s v="ti.14115"/>
    <x v="0"/>
    <x v="0"/>
    <x v="2"/>
    <s v="横浜市栄区"/>
    <x v="16"/>
    <x v="4"/>
    <x v="4"/>
    <x v="4"/>
    <x v="4"/>
    <n v="20"/>
    <n v="1.62"/>
    <n v="1"/>
    <n v="0.2"/>
    <n v="18"/>
    <n v="2.46"/>
    <x v="14"/>
    <n v="100"/>
  </r>
  <r>
    <s v="ti.14115"/>
    <x v="0"/>
    <x v="0"/>
    <x v="2"/>
    <s v="横浜市栄区"/>
    <x v="16"/>
    <x v="5"/>
    <x v="5"/>
    <x v="5"/>
    <x v="5"/>
    <n v="11"/>
    <n v="0.89"/>
    <n v="3"/>
    <n v="0.6"/>
    <n v="8"/>
    <n v="1.0900000000000001"/>
    <x v="0"/>
    <n v="0"/>
  </r>
  <r>
    <s v="ti.14115"/>
    <x v="0"/>
    <x v="0"/>
    <x v="2"/>
    <s v="横浜市栄区"/>
    <x v="16"/>
    <x v="6"/>
    <x v="6"/>
    <x v="6"/>
    <x v="6"/>
    <n v="221"/>
    <n v="17.940000000000001"/>
    <n v="79"/>
    <n v="15.83"/>
    <n v="142"/>
    <n v="19.399999999999999"/>
    <x v="0"/>
    <n v="0"/>
  </r>
  <r>
    <s v="ti.14115"/>
    <x v="0"/>
    <x v="0"/>
    <x v="2"/>
    <s v="横浜市栄区"/>
    <x v="16"/>
    <x v="7"/>
    <x v="7"/>
    <x v="7"/>
    <x v="7"/>
    <n v="9"/>
    <n v="0.73"/>
    <n v="0"/>
    <n v="0"/>
    <n v="9"/>
    <n v="1.23"/>
    <x v="0"/>
    <n v="0"/>
  </r>
  <r>
    <s v="ti.14115"/>
    <x v="0"/>
    <x v="0"/>
    <x v="2"/>
    <s v="横浜市栄区"/>
    <x v="16"/>
    <x v="8"/>
    <x v="8"/>
    <x v="8"/>
    <x v="8"/>
    <n v="156"/>
    <n v="12.66"/>
    <n v="64"/>
    <n v="12.83"/>
    <n v="92"/>
    <n v="12.57"/>
    <x v="0"/>
    <n v="0"/>
  </r>
  <r>
    <s v="ti.14115"/>
    <x v="0"/>
    <x v="0"/>
    <x v="2"/>
    <s v="横浜市栄区"/>
    <x v="16"/>
    <x v="9"/>
    <x v="9"/>
    <x v="9"/>
    <x v="9"/>
    <n v="99"/>
    <n v="8.0399999999999991"/>
    <n v="48"/>
    <n v="9.6199999999999992"/>
    <n v="51"/>
    <n v="6.97"/>
    <x v="0"/>
    <n v="0"/>
  </r>
  <r>
    <s v="ti.14115"/>
    <x v="0"/>
    <x v="0"/>
    <x v="2"/>
    <s v="横浜市栄区"/>
    <x v="16"/>
    <x v="10"/>
    <x v="10"/>
    <x v="10"/>
    <x v="10"/>
    <n v="68"/>
    <n v="5.52"/>
    <n v="41"/>
    <n v="8.2200000000000006"/>
    <n v="27"/>
    <n v="3.69"/>
    <x v="0"/>
    <n v="0"/>
  </r>
  <r>
    <s v="ti.14115"/>
    <x v="0"/>
    <x v="0"/>
    <x v="2"/>
    <s v="横浜市栄区"/>
    <x v="16"/>
    <x v="11"/>
    <x v="11"/>
    <x v="11"/>
    <x v="11"/>
    <n v="165"/>
    <n v="13.39"/>
    <n v="120"/>
    <n v="24.05"/>
    <n v="45"/>
    <n v="6.15"/>
    <x v="0"/>
    <n v="0"/>
  </r>
  <r>
    <s v="ti.14115"/>
    <x v="0"/>
    <x v="0"/>
    <x v="2"/>
    <s v="横浜市栄区"/>
    <x v="16"/>
    <x v="12"/>
    <x v="12"/>
    <x v="12"/>
    <x v="12"/>
    <n v="59"/>
    <n v="4.79"/>
    <n v="47"/>
    <n v="9.42"/>
    <n v="12"/>
    <n v="1.64"/>
    <x v="0"/>
    <n v="0"/>
  </r>
  <r>
    <s v="ti.14115"/>
    <x v="0"/>
    <x v="0"/>
    <x v="2"/>
    <s v="横浜市栄区"/>
    <x v="16"/>
    <x v="13"/>
    <x v="13"/>
    <x v="13"/>
    <x v="13"/>
    <n v="89"/>
    <n v="7.22"/>
    <n v="47"/>
    <n v="9.42"/>
    <n v="42"/>
    <n v="5.74"/>
    <x v="0"/>
    <n v="0"/>
  </r>
  <r>
    <s v="ti.14115"/>
    <x v="0"/>
    <x v="0"/>
    <x v="2"/>
    <s v="横浜市栄区"/>
    <x v="16"/>
    <x v="14"/>
    <x v="14"/>
    <x v="14"/>
    <x v="14"/>
    <n v="44"/>
    <n v="3.57"/>
    <n v="13"/>
    <n v="2.61"/>
    <n v="31"/>
    <n v="4.2300000000000004"/>
    <x v="0"/>
    <n v="0"/>
  </r>
  <r>
    <s v="ti.14116"/>
    <x v="0"/>
    <x v="0"/>
    <x v="2"/>
    <s v="横浜市泉区"/>
    <x v="17"/>
    <x v="0"/>
    <x v="0"/>
    <x v="0"/>
    <x v="0"/>
    <n v="0"/>
    <n v="0"/>
    <n v="0"/>
    <n v="0"/>
    <n v="0"/>
    <n v="0"/>
    <x v="0"/>
    <n v="0"/>
  </r>
  <r>
    <s v="ti.14116"/>
    <x v="0"/>
    <x v="0"/>
    <x v="2"/>
    <s v="横浜市泉区"/>
    <x v="17"/>
    <x v="1"/>
    <x v="1"/>
    <x v="1"/>
    <x v="1"/>
    <n v="513"/>
    <n v="24.22"/>
    <n v="109"/>
    <n v="12.34"/>
    <n v="404"/>
    <n v="32.79"/>
    <x v="0"/>
    <n v="0"/>
  </r>
  <r>
    <s v="ti.14116"/>
    <x v="0"/>
    <x v="0"/>
    <x v="2"/>
    <s v="横浜市泉区"/>
    <x v="17"/>
    <x v="2"/>
    <x v="2"/>
    <x v="2"/>
    <x v="2"/>
    <n v="144"/>
    <n v="6.8"/>
    <n v="32"/>
    <n v="3.62"/>
    <n v="112"/>
    <n v="9.09"/>
    <x v="0"/>
    <n v="0"/>
  </r>
  <r>
    <s v="ti.14116"/>
    <x v="0"/>
    <x v="0"/>
    <x v="2"/>
    <s v="横浜市泉区"/>
    <x v="17"/>
    <x v="3"/>
    <x v="3"/>
    <x v="3"/>
    <x v="3"/>
    <n v="0"/>
    <n v="0"/>
    <n v="0"/>
    <n v="0"/>
    <n v="0"/>
    <n v="0"/>
    <x v="0"/>
    <n v="0"/>
  </r>
  <r>
    <s v="ti.14116"/>
    <x v="0"/>
    <x v="0"/>
    <x v="2"/>
    <s v="横浜市泉区"/>
    <x v="17"/>
    <x v="4"/>
    <x v="4"/>
    <x v="4"/>
    <x v="4"/>
    <n v="27"/>
    <n v="1.27"/>
    <n v="3"/>
    <n v="0.34"/>
    <n v="24"/>
    <n v="1.95"/>
    <x v="0"/>
    <n v="0"/>
  </r>
  <r>
    <s v="ti.14116"/>
    <x v="0"/>
    <x v="0"/>
    <x v="2"/>
    <s v="横浜市泉区"/>
    <x v="17"/>
    <x v="5"/>
    <x v="5"/>
    <x v="5"/>
    <x v="5"/>
    <n v="31"/>
    <n v="1.46"/>
    <n v="15"/>
    <n v="1.7"/>
    <n v="16"/>
    <n v="1.3"/>
    <x v="0"/>
    <n v="0"/>
  </r>
  <r>
    <s v="ti.14116"/>
    <x v="0"/>
    <x v="0"/>
    <x v="2"/>
    <s v="横浜市泉区"/>
    <x v="17"/>
    <x v="6"/>
    <x v="6"/>
    <x v="6"/>
    <x v="6"/>
    <n v="381"/>
    <n v="17.989999999999998"/>
    <n v="144"/>
    <n v="16.309999999999999"/>
    <n v="237"/>
    <n v="19.239999999999998"/>
    <x v="0"/>
    <n v="0"/>
  </r>
  <r>
    <s v="ti.14116"/>
    <x v="0"/>
    <x v="0"/>
    <x v="2"/>
    <s v="横浜市泉区"/>
    <x v="17"/>
    <x v="7"/>
    <x v="7"/>
    <x v="7"/>
    <x v="7"/>
    <n v="11"/>
    <n v="0.52"/>
    <n v="1"/>
    <n v="0.11"/>
    <n v="10"/>
    <n v="0.81"/>
    <x v="0"/>
    <n v="0"/>
  </r>
  <r>
    <s v="ti.14116"/>
    <x v="0"/>
    <x v="0"/>
    <x v="2"/>
    <s v="横浜市泉区"/>
    <x v="17"/>
    <x v="8"/>
    <x v="8"/>
    <x v="8"/>
    <x v="8"/>
    <n v="182"/>
    <n v="8.59"/>
    <n v="50"/>
    <n v="5.66"/>
    <n v="131"/>
    <n v="10.63"/>
    <x v="14"/>
    <n v="33.33"/>
  </r>
  <r>
    <s v="ti.14116"/>
    <x v="0"/>
    <x v="0"/>
    <x v="2"/>
    <s v="横浜市泉区"/>
    <x v="17"/>
    <x v="9"/>
    <x v="9"/>
    <x v="9"/>
    <x v="9"/>
    <n v="116"/>
    <n v="5.48"/>
    <n v="49"/>
    <n v="5.55"/>
    <n v="67"/>
    <n v="5.44"/>
    <x v="0"/>
    <n v="0"/>
  </r>
  <r>
    <s v="ti.14116"/>
    <x v="0"/>
    <x v="0"/>
    <x v="2"/>
    <s v="横浜市泉区"/>
    <x v="17"/>
    <x v="10"/>
    <x v="10"/>
    <x v="10"/>
    <x v="10"/>
    <n v="143"/>
    <n v="6.75"/>
    <n v="114"/>
    <n v="12.91"/>
    <n v="29"/>
    <n v="2.35"/>
    <x v="0"/>
    <n v="0"/>
  </r>
  <r>
    <s v="ti.14116"/>
    <x v="0"/>
    <x v="0"/>
    <x v="2"/>
    <s v="横浜市泉区"/>
    <x v="17"/>
    <x v="11"/>
    <x v="11"/>
    <x v="11"/>
    <x v="11"/>
    <n v="246"/>
    <n v="11.61"/>
    <n v="178"/>
    <n v="20.16"/>
    <n v="68"/>
    <n v="5.52"/>
    <x v="0"/>
    <n v="0"/>
  </r>
  <r>
    <s v="ti.14116"/>
    <x v="0"/>
    <x v="0"/>
    <x v="2"/>
    <s v="横浜市泉区"/>
    <x v="17"/>
    <x v="12"/>
    <x v="12"/>
    <x v="12"/>
    <x v="12"/>
    <n v="111"/>
    <n v="5.24"/>
    <n v="81"/>
    <n v="9.17"/>
    <n v="29"/>
    <n v="2.35"/>
    <x v="14"/>
    <n v="33.33"/>
  </r>
  <r>
    <s v="ti.14116"/>
    <x v="0"/>
    <x v="0"/>
    <x v="2"/>
    <s v="横浜市泉区"/>
    <x v="17"/>
    <x v="13"/>
    <x v="13"/>
    <x v="13"/>
    <x v="13"/>
    <n v="132"/>
    <n v="6.23"/>
    <n v="73"/>
    <n v="8.27"/>
    <n v="59"/>
    <n v="4.79"/>
    <x v="0"/>
    <n v="0"/>
  </r>
  <r>
    <s v="ti.14116"/>
    <x v="0"/>
    <x v="0"/>
    <x v="2"/>
    <s v="横浜市泉区"/>
    <x v="17"/>
    <x v="14"/>
    <x v="14"/>
    <x v="14"/>
    <x v="14"/>
    <n v="81"/>
    <n v="3.82"/>
    <n v="34"/>
    <n v="3.85"/>
    <n v="46"/>
    <n v="3.73"/>
    <x v="14"/>
    <n v="33.33"/>
  </r>
  <r>
    <s v="ti.14117"/>
    <x v="0"/>
    <x v="0"/>
    <x v="2"/>
    <s v="横浜市青葉区"/>
    <x v="18"/>
    <x v="0"/>
    <x v="0"/>
    <x v="0"/>
    <x v="0"/>
    <n v="0"/>
    <n v="0"/>
    <n v="0"/>
    <n v="0"/>
    <n v="0"/>
    <n v="0"/>
    <x v="0"/>
    <n v="0"/>
  </r>
  <r>
    <s v="ti.14117"/>
    <x v="0"/>
    <x v="0"/>
    <x v="2"/>
    <s v="横浜市青葉区"/>
    <x v="18"/>
    <x v="1"/>
    <x v="1"/>
    <x v="1"/>
    <x v="1"/>
    <n v="440"/>
    <n v="11.63"/>
    <n v="50"/>
    <n v="3.99"/>
    <n v="390"/>
    <n v="15.48"/>
    <x v="0"/>
    <n v="0"/>
  </r>
  <r>
    <s v="ti.14117"/>
    <x v="0"/>
    <x v="0"/>
    <x v="2"/>
    <s v="横浜市青葉区"/>
    <x v="18"/>
    <x v="2"/>
    <x v="2"/>
    <x v="2"/>
    <x v="2"/>
    <n v="147"/>
    <n v="3.89"/>
    <n v="28"/>
    <n v="2.23"/>
    <n v="118"/>
    <n v="4.68"/>
    <x v="14"/>
    <n v="10"/>
  </r>
  <r>
    <s v="ti.14117"/>
    <x v="0"/>
    <x v="0"/>
    <x v="2"/>
    <s v="横浜市青葉区"/>
    <x v="18"/>
    <x v="3"/>
    <x v="3"/>
    <x v="3"/>
    <x v="3"/>
    <n v="1"/>
    <n v="0.03"/>
    <n v="0"/>
    <n v="0"/>
    <n v="1"/>
    <n v="0.04"/>
    <x v="0"/>
    <n v="0"/>
  </r>
  <r>
    <s v="ti.14117"/>
    <x v="0"/>
    <x v="0"/>
    <x v="2"/>
    <s v="横浜市青葉区"/>
    <x v="18"/>
    <x v="4"/>
    <x v="4"/>
    <x v="4"/>
    <x v="4"/>
    <n v="118"/>
    <n v="3.12"/>
    <n v="6"/>
    <n v="0.48"/>
    <n v="110"/>
    <n v="4.37"/>
    <x v="13"/>
    <n v="20"/>
  </r>
  <r>
    <s v="ti.14117"/>
    <x v="0"/>
    <x v="0"/>
    <x v="2"/>
    <s v="横浜市青葉区"/>
    <x v="18"/>
    <x v="5"/>
    <x v="5"/>
    <x v="5"/>
    <x v="5"/>
    <n v="18"/>
    <n v="0.48"/>
    <n v="1"/>
    <n v="0.08"/>
    <n v="17"/>
    <n v="0.67"/>
    <x v="0"/>
    <n v="0"/>
  </r>
  <r>
    <s v="ti.14117"/>
    <x v="0"/>
    <x v="0"/>
    <x v="2"/>
    <s v="横浜市青葉区"/>
    <x v="18"/>
    <x v="6"/>
    <x v="6"/>
    <x v="6"/>
    <x v="6"/>
    <n v="825"/>
    <n v="21.81"/>
    <n v="219"/>
    <n v="17.48"/>
    <n v="605"/>
    <n v="24.02"/>
    <x v="14"/>
    <n v="10"/>
  </r>
  <r>
    <s v="ti.14117"/>
    <x v="0"/>
    <x v="0"/>
    <x v="2"/>
    <s v="横浜市青葉区"/>
    <x v="18"/>
    <x v="7"/>
    <x v="7"/>
    <x v="7"/>
    <x v="7"/>
    <n v="26"/>
    <n v="0.69"/>
    <n v="3"/>
    <n v="0.24"/>
    <n v="23"/>
    <n v="0.91"/>
    <x v="0"/>
    <n v="0"/>
  </r>
  <r>
    <s v="ti.14117"/>
    <x v="0"/>
    <x v="0"/>
    <x v="2"/>
    <s v="横浜市青葉区"/>
    <x v="18"/>
    <x v="8"/>
    <x v="8"/>
    <x v="8"/>
    <x v="8"/>
    <n v="452"/>
    <n v="11.95"/>
    <n v="22"/>
    <n v="1.76"/>
    <n v="429"/>
    <n v="17.03"/>
    <x v="14"/>
    <n v="10"/>
  </r>
  <r>
    <s v="ti.14117"/>
    <x v="0"/>
    <x v="0"/>
    <x v="2"/>
    <s v="横浜市青葉区"/>
    <x v="18"/>
    <x v="9"/>
    <x v="9"/>
    <x v="9"/>
    <x v="9"/>
    <n v="338"/>
    <n v="8.94"/>
    <n v="100"/>
    <n v="7.98"/>
    <n v="238"/>
    <n v="9.4499999999999993"/>
    <x v="0"/>
    <n v="0"/>
  </r>
  <r>
    <s v="ti.14117"/>
    <x v="0"/>
    <x v="0"/>
    <x v="2"/>
    <s v="横浜市青葉区"/>
    <x v="18"/>
    <x v="10"/>
    <x v="10"/>
    <x v="10"/>
    <x v="10"/>
    <n v="329"/>
    <n v="8.6999999999999993"/>
    <n v="208"/>
    <n v="16.600000000000001"/>
    <n v="121"/>
    <n v="4.8"/>
    <x v="0"/>
    <n v="0"/>
  </r>
  <r>
    <s v="ti.14117"/>
    <x v="0"/>
    <x v="0"/>
    <x v="2"/>
    <s v="横浜市青葉区"/>
    <x v="18"/>
    <x v="11"/>
    <x v="11"/>
    <x v="11"/>
    <x v="11"/>
    <n v="459"/>
    <n v="12.14"/>
    <n v="269"/>
    <n v="21.47"/>
    <n v="188"/>
    <n v="7.46"/>
    <x v="13"/>
    <n v="20"/>
  </r>
  <r>
    <s v="ti.14117"/>
    <x v="0"/>
    <x v="0"/>
    <x v="2"/>
    <s v="横浜市青葉区"/>
    <x v="18"/>
    <x v="12"/>
    <x v="12"/>
    <x v="12"/>
    <x v="12"/>
    <n v="266"/>
    <n v="7.03"/>
    <n v="155"/>
    <n v="12.37"/>
    <n v="110"/>
    <n v="4.37"/>
    <x v="14"/>
    <n v="10"/>
  </r>
  <r>
    <s v="ti.14117"/>
    <x v="0"/>
    <x v="0"/>
    <x v="2"/>
    <s v="横浜市青葉区"/>
    <x v="18"/>
    <x v="13"/>
    <x v="13"/>
    <x v="13"/>
    <x v="13"/>
    <n v="262"/>
    <n v="6.93"/>
    <n v="175"/>
    <n v="13.97"/>
    <n v="85"/>
    <n v="3.37"/>
    <x v="13"/>
    <n v="20"/>
  </r>
  <r>
    <s v="ti.14117"/>
    <x v="0"/>
    <x v="0"/>
    <x v="2"/>
    <s v="横浜市青葉区"/>
    <x v="18"/>
    <x v="14"/>
    <x v="14"/>
    <x v="14"/>
    <x v="14"/>
    <n v="101"/>
    <n v="2.67"/>
    <n v="17"/>
    <n v="1.36"/>
    <n v="84"/>
    <n v="3.33"/>
    <x v="0"/>
    <n v="0"/>
  </r>
  <r>
    <s v="ti.14118"/>
    <x v="0"/>
    <x v="0"/>
    <x v="2"/>
    <s v="横浜市都筑区"/>
    <x v="19"/>
    <x v="0"/>
    <x v="0"/>
    <x v="0"/>
    <x v="0"/>
    <n v="0"/>
    <n v="0"/>
    <n v="0"/>
    <n v="0"/>
    <n v="0"/>
    <n v="0"/>
    <x v="0"/>
    <n v="0"/>
  </r>
  <r>
    <s v="ti.14118"/>
    <x v="0"/>
    <x v="0"/>
    <x v="2"/>
    <s v="横浜市都筑区"/>
    <x v="19"/>
    <x v="1"/>
    <x v="1"/>
    <x v="1"/>
    <x v="1"/>
    <n v="568"/>
    <n v="15.63"/>
    <n v="65"/>
    <n v="7.51"/>
    <n v="503"/>
    <n v="18.2"/>
    <x v="0"/>
    <n v="0"/>
  </r>
  <r>
    <s v="ti.14118"/>
    <x v="0"/>
    <x v="0"/>
    <x v="2"/>
    <s v="横浜市都筑区"/>
    <x v="19"/>
    <x v="2"/>
    <x v="2"/>
    <x v="2"/>
    <x v="2"/>
    <n v="675"/>
    <n v="18.579999999999998"/>
    <n v="99"/>
    <n v="11.43"/>
    <n v="576"/>
    <n v="20.85"/>
    <x v="0"/>
    <n v="0"/>
  </r>
  <r>
    <s v="ti.14118"/>
    <x v="0"/>
    <x v="0"/>
    <x v="2"/>
    <s v="横浜市都筑区"/>
    <x v="19"/>
    <x v="3"/>
    <x v="3"/>
    <x v="3"/>
    <x v="3"/>
    <n v="0"/>
    <n v="0"/>
    <n v="0"/>
    <n v="0"/>
    <n v="0"/>
    <n v="0"/>
    <x v="0"/>
    <n v="0"/>
  </r>
  <r>
    <s v="ti.14118"/>
    <x v="0"/>
    <x v="0"/>
    <x v="2"/>
    <s v="横浜市都筑区"/>
    <x v="19"/>
    <x v="4"/>
    <x v="4"/>
    <x v="4"/>
    <x v="4"/>
    <n v="60"/>
    <n v="1.65"/>
    <n v="2"/>
    <n v="0.23"/>
    <n v="58"/>
    <n v="2.1"/>
    <x v="0"/>
    <n v="0"/>
  </r>
  <r>
    <s v="ti.14118"/>
    <x v="0"/>
    <x v="0"/>
    <x v="2"/>
    <s v="横浜市都筑区"/>
    <x v="19"/>
    <x v="5"/>
    <x v="5"/>
    <x v="5"/>
    <x v="5"/>
    <n v="24"/>
    <n v="0.66"/>
    <n v="1"/>
    <n v="0.12"/>
    <n v="23"/>
    <n v="0.83"/>
    <x v="0"/>
    <n v="0"/>
  </r>
  <r>
    <s v="ti.14118"/>
    <x v="0"/>
    <x v="0"/>
    <x v="2"/>
    <s v="横浜市都筑区"/>
    <x v="19"/>
    <x v="6"/>
    <x v="6"/>
    <x v="6"/>
    <x v="6"/>
    <n v="707"/>
    <n v="19.46"/>
    <n v="129"/>
    <n v="14.9"/>
    <n v="578"/>
    <n v="20.92"/>
    <x v="0"/>
    <n v="0"/>
  </r>
  <r>
    <s v="ti.14118"/>
    <x v="0"/>
    <x v="0"/>
    <x v="2"/>
    <s v="横浜市都筑区"/>
    <x v="19"/>
    <x v="7"/>
    <x v="7"/>
    <x v="7"/>
    <x v="7"/>
    <n v="25"/>
    <n v="0.69"/>
    <n v="1"/>
    <n v="0.12"/>
    <n v="24"/>
    <n v="0.87"/>
    <x v="0"/>
    <n v="0"/>
  </r>
  <r>
    <s v="ti.14118"/>
    <x v="0"/>
    <x v="0"/>
    <x v="2"/>
    <s v="横浜市都筑区"/>
    <x v="19"/>
    <x v="8"/>
    <x v="8"/>
    <x v="8"/>
    <x v="8"/>
    <n v="379"/>
    <n v="10.43"/>
    <n v="17"/>
    <n v="1.96"/>
    <n v="361"/>
    <n v="13.07"/>
    <x v="14"/>
    <n v="25"/>
  </r>
  <r>
    <s v="ti.14118"/>
    <x v="0"/>
    <x v="0"/>
    <x v="2"/>
    <s v="横浜市都筑区"/>
    <x v="19"/>
    <x v="9"/>
    <x v="9"/>
    <x v="9"/>
    <x v="9"/>
    <n v="188"/>
    <n v="5.17"/>
    <n v="60"/>
    <n v="6.93"/>
    <n v="126"/>
    <n v="4.5599999999999996"/>
    <x v="13"/>
    <n v="50"/>
  </r>
  <r>
    <s v="ti.14118"/>
    <x v="0"/>
    <x v="0"/>
    <x v="2"/>
    <s v="横浜市都筑区"/>
    <x v="19"/>
    <x v="10"/>
    <x v="10"/>
    <x v="10"/>
    <x v="10"/>
    <n v="201"/>
    <n v="5.53"/>
    <n v="120"/>
    <n v="13.86"/>
    <n v="81"/>
    <n v="2.93"/>
    <x v="0"/>
    <n v="0"/>
  </r>
  <r>
    <s v="ti.14118"/>
    <x v="0"/>
    <x v="0"/>
    <x v="2"/>
    <s v="横浜市都筑区"/>
    <x v="19"/>
    <x v="11"/>
    <x v="11"/>
    <x v="11"/>
    <x v="11"/>
    <n v="297"/>
    <n v="8.18"/>
    <n v="166"/>
    <n v="19.170000000000002"/>
    <n v="131"/>
    <n v="4.74"/>
    <x v="0"/>
    <n v="0"/>
  </r>
  <r>
    <s v="ti.14118"/>
    <x v="0"/>
    <x v="0"/>
    <x v="2"/>
    <s v="横浜市都筑区"/>
    <x v="19"/>
    <x v="12"/>
    <x v="12"/>
    <x v="12"/>
    <x v="12"/>
    <n v="156"/>
    <n v="4.29"/>
    <n v="74"/>
    <n v="8.5500000000000007"/>
    <n v="82"/>
    <n v="2.97"/>
    <x v="0"/>
    <n v="0"/>
  </r>
  <r>
    <s v="ti.14118"/>
    <x v="0"/>
    <x v="0"/>
    <x v="2"/>
    <s v="横浜市都筑区"/>
    <x v="19"/>
    <x v="13"/>
    <x v="13"/>
    <x v="13"/>
    <x v="13"/>
    <n v="166"/>
    <n v="4.57"/>
    <n v="93"/>
    <n v="10.74"/>
    <n v="73"/>
    <n v="2.64"/>
    <x v="0"/>
    <n v="0"/>
  </r>
  <r>
    <s v="ti.14118"/>
    <x v="0"/>
    <x v="0"/>
    <x v="2"/>
    <s v="横浜市都筑区"/>
    <x v="19"/>
    <x v="14"/>
    <x v="14"/>
    <x v="14"/>
    <x v="14"/>
    <n v="187"/>
    <n v="5.15"/>
    <n v="39"/>
    <n v="4.5"/>
    <n v="147"/>
    <n v="5.32"/>
    <x v="14"/>
    <n v="25"/>
  </r>
  <r>
    <s v="ti.14130"/>
    <x v="0"/>
    <x v="0"/>
    <x v="1"/>
    <s v="川崎市"/>
    <x v="20"/>
    <x v="0"/>
    <x v="0"/>
    <x v="0"/>
    <x v="0"/>
    <n v="0"/>
    <n v="0"/>
    <n v="0"/>
    <n v="0"/>
    <n v="0"/>
    <n v="0"/>
    <x v="0"/>
    <n v="0"/>
  </r>
  <r>
    <s v="ti.14130"/>
    <x v="0"/>
    <x v="0"/>
    <x v="1"/>
    <s v="川崎市"/>
    <x v="20"/>
    <x v="1"/>
    <x v="1"/>
    <x v="1"/>
    <x v="1"/>
    <n v="3058"/>
    <n v="13.62"/>
    <n v="461"/>
    <n v="4.8899999999999997"/>
    <n v="2597"/>
    <n v="19.96"/>
    <x v="0"/>
    <n v="0"/>
  </r>
  <r>
    <s v="ti.14130"/>
    <x v="0"/>
    <x v="0"/>
    <x v="1"/>
    <s v="川崎市"/>
    <x v="20"/>
    <x v="2"/>
    <x v="2"/>
    <x v="2"/>
    <x v="2"/>
    <n v="2162"/>
    <n v="9.6300000000000008"/>
    <n v="419"/>
    <n v="4.45"/>
    <n v="1743"/>
    <n v="13.4"/>
    <x v="0"/>
    <n v="0"/>
  </r>
  <r>
    <s v="ti.14130"/>
    <x v="0"/>
    <x v="0"/>
    <x v="1"/>
    <s v="川崎市"/>
    <x v="20"/>
    <x v="3"/>
    <x v="3"/>
    <x v="3"/>
    <x v="3"/>
    <n v="4"/>
    <n v="0.02"/>
    <n v="0"/>
    <n v="0"/>
    <n v="4"/>
    <n v="0.03"/>
    <x v="0"/>
    <n v="0"/>
  </r>
  <r>
    <s v="ti.14130"/>
    <x v="0"/>
    <x v="0"/>
    <x v="1"/>
    <s v="川崎市"/>
    <x v="20"/>
    <x v="4"/>
    <x v="4"/>
    <x v="4"/>
    <x v="4"/>
    <n v="322"/>
    <n v="1.43"/>
    <n v="5"/>
    <n v="0.05"/>
    <n v="317"/>
    <n v="2.44"/>
    <x v="0"/>
    <n v="0"/>
  </r>
  <r>
    <s v="ti.14130"/>
    <x v="0"/>
    <x v="0"/>
    <x v="1"/>
    <s v="川崎市"/>
    <x v="20"/>
    <x v="5"/>
    <x v="5"/>
    <x v="5"/>
    <x v="5"/>
    <n v="444"/>
    <n v="1.98"/>
    <n v="218"/>
    <n v="2.31"/>
    <n v="226"/>
    <n v="1.74"/>
    <x v="0"/>
    <n v="0"/>
  </r>
  <r>
    <s v="ti.14130"/>
    <x v="0"/>
    <x v="0"/>
    <x v="1"/>
    <s v="川崎市"/>
    <x v="20"/>
    <x v="6"/>
    <x v="6"/>
    <x v="6"/>
    <x v="6"/>
    <n v="4306"/>
    <n v="19.18"/>
    <n v="1517"/>
    <n v="16.100000000000001"/>
    <n v="2787"/>
    <n v="21.42"/>
    <x v="13"/>
    <n v="12.5"/>
  </r>
  <r>
    <s v="ti.14130"/>
    <x v="0"/>
    <x v="0"/>
    <x v="1"/>
    <s v="川崎市"/>
    <x v="20"/>
    <x v="7"/>
    <x v="7"/>
    <x v="7"/>
    <x v="7"/>
    <n v="94"/>
    <n v="0.42"/>
    <n v="7"/>
    <n v="7.0000000000000007E-2"/>
    <n v="87"/>
    <n v="0.67"/>
    <x v="0"/>
    <n v="0"/>
  </r>
  <r>
    <s v="ti.14130"/>
    <x v="0"/>
    <x v="0"/>
    <x v="1"/>
    <s v="川崎市"/>
    <x v="20"/>
    <x v="8"/>
    <x v="8"/>
    <x v="8"/>
    <x v="8"/>
    <n v="3097"/>
    <n v="13.79"/>
    <n v="1211"/>
    <n v="12.85"/>
    <n v="1885"/>
    <n v="14.49"/>
    <x v="14"/>
    <n v="6.25"/>
  </r>
  <r>
    <s v="ti.14130"/>
    <x v="0"/>
    <x v="0"/>
    <x v="1"/>
    <s v="川崎市"/>
    <x v="20"/>
    <x v="9"/>
    <x v="9"/>
    <x v="9"/>
    <x v="9"/>
    <n v="1107"/>
    <n v="4.93"/>
    <n v="435"/>
    <n v="4.62"/>
    <n v="671"/>
    <n v="5.16"/>
    <x v="14"/>
    <n v="6.25"/>
  </r>
  <r>
    <s v="ti.14130"/>
    <x v="0"/>
    <x v="0"/>
    <x v="1"/>
    <s v="川崎市"/>
    <x v="20"/>
    <x v="10"/>
    <x v="10"/>
    <x v="10"/>
    <x v="10"/>
    <n v="2946"/>
    <n v="13.12"/>
    <n v="2204"/>
    <n v="23.38"/>
    <n v="741"/>
    <n v="5.69"/>
    <x v="14"/>
    <n v="6.25"/>
  </r>
  <r>
    <s v="ti.14130"/>
    <x v="0"/>
    <x v="0"/>
    <x v="1"/>
    <s v="川崎市"/>
    <x v="20"/>
    <x v="11"/>
    <x v="11"/>
    <x v="11"/>
    <x v="11"/>
    <n v="2412"/>
    <n v="10.74"/>
    <n v="1644"/>
    <n v="17.440000000000001"/>
    <n v="766"/>
    <n v="5.89"/>
    <x v="13"/>
    <n v="12.5"/>
  </r>
  <r>
    <s v="ti.14130"/>
    <x v="0"/>
    <x v="0"/>
    <x v="1"/>
    <s v="川崎市"/>
    <x v="20"/>
    <x v="12"/>
    <x v="12"/>
    <x v="12"/>
    <x v="12"/>
    <n v="692"/>
    <n v="3.08"/>
    <n v="444"/>
    <n v="4.71"/>
    <n v="245"/>
    <n v="1.88"/>
    <x v="2"/>
    <n v="18.75"/>
  </r>
  <r>
    <s v="ti.14130"/>
    <x v="0"/>
    <x v="0"/>
    <x v="1"/>
    <s v="川崎市"/>
    <x v="20"/>
    <x v="13"/>
    <x v="13"/>
    <x v="13"/>
    <x v="13"/>
    <n v="1153"/>
    <n v="5.14"/>
    <n v="725"/>
    <n v="7.69"/>
    <n v="426"/>
    <n v="3.27"/>
    <x v="13"/>
    <n v="12.5"/>
  </r>
  <r>
    <s v="ti.14130"/>
    <x v="0"/>
    <x v="0"/>
    <x v="1"/>
    <s v="川崎市"/>
    <x v="20"/>
    <x v="14"/>
    <x v="14"/>
    <x v="14"/>
    <x v="14"/>
    <n v="656"/>
    <n v="2.92"/>
    <n v="135"/>
    <n v="1.43"/>
    <n v="517"/>
    <n v="3.97"/>
    <x v="1"/>
    <n v="25"/>
  </r>
  <r>
    <s v="ti.14131"/>
    <x v="0"/>
    <x v="0"/>
    <x v="2"/>
    <s v="川崎市川崎区"/>
    <x v="21"/>
    <x v="0"/>
    <x v="0"/>
    <x v="0"/>
    <x v="0"/>
    <n v="0"/>
    <n v="0"/>
    <n v="0"/>
    <n v="0"/>
    <n v="0"/>
    <n v="0"/>
    <x v="0"/>
    <n v="0"/>
  </r>
  <r>
    <s v="ti.14131"/>
    <x v="0"/>
    <x v="0"/>
    <x v="2"/>
    <s v="川崎市川崎区"/>
    <x v="21"/>
    <x v="1"/>
    <x v="1"/>
    <x v="1"/>
    <x v="1"/>
    <n v="826"/>
    <n v="14.87"/>
    <n v="95"/>
    <n v="4.07"/>
    <n v="731"/>
    <n v="22.77"/>
    <x v="0"/>
    <n v="0"/>
  </r>
  <r>
    <s v="ti.14131"/>
    <x v="0"/>
    <x v="0"/>
    <x v="2"/>
    <s v="川崎市川崎区"/>
    <x v="21"/>
    <x v="2"/>
    <x v="2"/>
    <x v="2"/>
    <x v="2"/>
    <n v="541"/>
    <n v="9.74"/>
    <n v="69"/>
    <n v="2.95"/>
    <n v="472"/>
    <n v="14.7"/>
    <x v="0"/>
    <n v="0"/>
  </r>
  <r>
    <s v="ti.14131"/>
    <x v="0"/>
    <x v="0"/>
    <x v="2"/>
    <s v="川崎市川崎区"/>
    <x v="21"/>
    <x v="3"/>
    <x v="3"/>
    <x v="3"/>
    <x v="3"/>
    <n v="1"/>
    <n v="0.02"/>
    <n v="0"/>
    <n v="0"/>
    <n v="1"/>
    <n v="0.03"/>
    <x v="0"/>
    <n v="0"/>
  </r>
  <r>
    <s v="ti.14131"/>
    <x v="0"/>
    <x v="0"/>
    <x v="2"/>
    <s v="川崎市川崎区"/>
    <x v="21"/>
    <x v="4"/>
    <x v="4"/>
    <x v="4"/>
    <x v="4"/>
    <n v="48"/>
    <n v="0.86"/>
    <n v="1"/>
    <n v="0.04"/>
    <n v="47"/>
    <n v="1.46"/>
    <x v="0"/>
    <n v="0"/>
  </r>
  <r>
    <s v="ti.14131"/>
    <x v="0"/>
    <x v="0"/>
    <x v="2"/>
    <s v="川崎市川崎区"/>
    <x v="21"/>
    <x v="5"/>
    <x v="5"/>
    <x v="5"/>
    <x v="5"/>
    <n v="193"/>
    <n v="3.48"/>
    <n v="52"/>
    <n v="2.23"/>
    <n v="141"/>
    <n v="4.3899999999999997"/>
    <x v="0"/>
    <n v="0"/>
  </r>
  <r>
    <s v="ti.14131"/>
    <x v="0"/>
    <x v="0"/>
    <x v="2"/>
    <s v="川崎市川崎区"/>
    <x v="21"/>
    <x v="6"/>
    <x v="6"/>
    <x v="6"/>
    <x v="6"/>
    <n v="1132"/>
    <n v="20.39"/>
    <n v="400"/>
    <n v="17.12"/>
    <n v="732"/>
    <n v="22.8"/>
    <x v="0"/>
    <n v="0"/>
  </r>
  <r>
    <s v="ti.14131"/>
    <x v="0"/>
    <x v="0"/>
    <x v="2"/>
    <s v="川崎市川崎区"/>
    <x v="21"/>
    <x v="7"/>
    <x v="7"/>
    <x v="7"/>
    <x v="7"/>
    <n v="20"/>
    <n v="0.36"/>
    <n v="3"/>
    <n v="0.13"/>
    <n v="17"/>
    <n v="0.53"/>
    <x v="0"/>
    <n v="0"/>
  </r>
  <r>
    <s v="ti.14131"/>
    <x v="0"/>
    <x v="0"/>
    <x v="2"/>
    <s v="川崎市川崎区"/>
    <x v="21"/>
    <x v="8"/>
    <x v="8"/>
    <x v="8"/>
    <x v="8"/>
    <n v="675"/>
    <n v="12.16"/>
    <n v="341"/>
    <n v="14.59"/>
    <n v="333"/>
    <n v="10.37"/>
    <x v="14"/>
    <n v="20"/>
  </r>
  <r>
    <s v="ti.14131"/>
    <x v="0"/>
    <x v="0"/>
    <x v="2"/>
    <s v="川崎市川崎区"/>
    <x v="21"/>
    <x v="9"/>
    <x v="9"/>
    <x v="9"/>
    <x v="9"/>
    <n v="230"/>
    <n v="4.1399999999999997"/>
    <n v="113"/>
    <n v="4.84"/>
    <n v="117"/>
    <n v="3.64"/>
    <x v="0"/>
    <n v="0"/>
  </r>
  <r>
    <s v="ti.14131"/>
    <x v="0"/>
    <x v="0"/>
    <x v="2"/>
    <s v="川崎市川崎区"/>
    <x v="21"/>
    <x v="10"/>
    <x v="10"/>
    <x v="10"/>
    <x v="10"/>
    <n v="871"/>
    <n v="15.69"/>
    <n v="678"/>
    <n v="29.01"/>
    <n v="193"/>
    <n v="6.01"/>
    <x v="0"/>
    <n v="0"/>
  </r>
  <r>
    <s v="ti.14131"/>
    <x v="0"/>
    <x v="0"/>
    <x v="2"/>
    <s v="川崎市川崎区"/>
    <x v="21"/>
    <x v="11"/>
    <x v="11"/>
    <x v="11"/>
    <x v="11"/>
    <n v="514"/>
    <n v="9.26"/>
    <n v="374"/>
    <n v="16"/>
    <n v="138"/>
    <n v="4.3"/>
    <x v="13"/>
    <n v="40"/>
  </r>
  <r>
    <s v="ti.14131"/>
    <x v="0"/>
    <x v="0"/>
    <x v="2"/>
    <s v="川崎市川崎区"/>
    <x v="21"/>
    <x v="12"/>
    <x v="12"/>
    <x v="12"/>
    <x v="12"/>
    <n v="94"/>
    <n v="1.69"/>
    <n v="62"/>
    <n v="2.65"/>
    <n v="32"/>
    <n v="1"/>
    <x v="0"/>
    <n v="0"/>
  </r>
  <r>
    <s v="ti.14131"/>
    <x v="0"/>
    <x v="0"/>
    <x v="2"/>
    <s v="川崎市川崎区"/>
    <x v="21"/>
    <x v="13"/>
    <x v="13"/>
    <x v="13"/>
    <x v="13"/>
    <n v="207"/>
    <n v="3.73"/>
    <n v="121"/>
    <n v="5.18"/>
    <n v="85"/>
    <n v="2.65"/>
    <x v="14"/>
    <n v="20"/>
  </r>
  <r>
    <s v="ti.14131"/>
    <x v="0"/>
    <x v="0"/>
    <x v="2"/>
    <s v="川崎市川崎区"/>
    <x v="21"/>
    <x v="14"/>
    <x v="14"/>
    <x v="14"/>
    <x v="14"/>
    <n v="201"/>
    <n v="3.62"/>
    <n v="28"/>
    <n v="1.2"/>
    <n v="172"/>
    <n v="5.36"/>
    <x v="14"/>
    <n v="20"/>
  </r>
  <r>
    <s v="ti.14132"/>
    <x v="0"/>
    <x v="0"/>
    <x v="2"/>
    <s v="川崎市幸区"/>
    <x v="22"/>
    <x v="0"/>
    <x v="0"/>
    <x v="0"/>
    <x v="0"/>
    <n v="0"/>
    <n v="0"/>
    <n v="0"/>
    <n v="0"/>
    <n v="0"/>
    <n v="0"/>
    <x v="0"/>
    <n v="0"/>
  </r>
  <r>
    <s v="ti.14132"/>
    <x v="0"/>
    <x v="0"/>
    <x v="2"/>
    <s v="川崎市幸区"/>
    <x v="22"/>
    <x v="1"/>
    <x v="1"/>
    <x v="1"/>
    <x v="1"/>
    <n v="379"/>
    <n v="14.29"/>
    <n v="64"/>
    <n v="5.1100000000000003"/>
    <n v="315"/>
    <n v="22.53"/>
    <x v="0"/>
    <n v="0"/>
  </r>
  <r>
    <s v="ti.14132"/>
    <x v="0"/>
    <x v="0"/>
    <x v="2"/>
    <s v="川崎市幸区"/>
    <x v="22"/>
    <x v="2"/>
    <x v="2"/>
    <x v="2"/>
    <x v="2"/>
    <n v="273"/>
    <n v="10.29"/>
    <n v="46"/>
    <n v="3.67"/>
    <n v="227"/>
    <n v="16.239999999999998"/>
    <x v="0"/>
    <n v="0"/>
  </r>
  <r>
    <s v="ti.14132"/>
    <x v="0"/>
    <x v="0"/>
    <x v="2"/>
    <s v="川崎市幸区"/>
    <x v="22"/>
    <x v="3"/>
    <x v="3"/>
    <x v="3"/>
    <x v="3"/>
    <n v="2"/>
    <n v="0.08"/>
    <n v="0"/>
    <n v="0"/>
    <n v="2"/>
    <n v="0.14000000000000001"/>
    <x v="0"/>
    <n v="0"/>
  </r>
  <r>
    <s v="ti.14132"/>
    <x v="0"/>
    <x v="0"/>
    <x v="2"/>
    <s v="川崎市幸区"/>
    <x v="22"/>
    <x v="4"/>
    <x v="4"/>
    <x v="4"/>
    <x v="4"/>
    <n v="18"/>
    <n v="0.68"/>
    <n v="0"/>
    <n v="0"/>
    <n v="18"/>
    <n v="1.29"/>
    <x v="0"/>
    <n v="0"/>
  </r>
  <r>
    <s v="ti.14132"/>
    <x v="0"/>
    <x v="0"/>
    <x v="2"/>
    <s v="川崎市幸区"/>
    <x v="22"/>
    <x v="5"/>
    <x v="5"/>
    <x v="5"/>
    <x v="5"/>
    <n v="79"/>
    <n v="2.98"/>
    <n v="60"/>
    <n v="4.79"/>
    <n v="19"/>
    <n v="1.36"/>
    <x v="0"/>
    <n v="0"/>
  </r>
  <r>
    <s v="ti.14132"/>
    <x v="0"/>
    <x v="0"/>
    <x v="2"/>
    <s v="川崎市幸区"/>
    <x v="22"/>
    <x v="6"/>
    <x v="6"/>
    <x v="6"/>
    <x v="6"/>
    <n v="532"/>
    <n v="20.059999999999999"/>
    <n v="218"/>
    <n v="17.399999999999999"/>
    <n v="313"/>
    <n v="22.39"/>
    <x v="14"/>
    <n v="100"/>
  </r>
  <r>
    <s v="ti.14132"/>
    <x v="0"/>
    <x v="0"/>
    <x v="2"/>
    <s v="川崎市幸区"/>
    <x v="22"/>
    <x v="7"/>
    <x v="7"/>
    <x v="7"/>
    <x v="7"/>
    <n v="6"/>
    <n v="0.23"/>
    <n v="0"/>
    <n v="0"/>
    <n v="6"/>
    <n v="0.43"/>
    <x v="0"/>
    <n v="0"/>
  </r>
  <r>
    <s v="ti.14132"/>
    <x v="0"/>
    <x v="0"/>
    <x v="2"/>
    <s v="川崎市幸区"/>
    <x v="22"/>
    <x v="8"/>
    <x v="8"/>
    <x v="8"/>
    <x v="8"/>
    <n v="341"/>
    <n v="12.86"/>
    <n v="149"/>
    <n v="11.89"/>
    <n v="192"/>
    <n v="13.73"/>
    <x v="0"/>
    <n v="0"/>
  </r>
  <r>
    <s v="ti.14132"/>
    <x v="0"/>
    <x v="0"/>
    <x v="2"/>
    <s v="川崎市幸区"/>
    <x v="22"/>
    <x v="9"/>
    <x v="9"/>
    <x v="9"/>
    <x v="9"/>
    <n v="94"/>
    <n v="3.54"/>
    <n v="40"/>
    <n v="3.19"/>
    <n v="54"/>
    <n v="3.86"/>
    <x v="0"/>
    <n v="0"/>
  </r>
  <r>
    <s v="ti.14132"/>
    <x v="0"/>
    <x v="0"/>
    <x v="2"/>
    <s v="川崎市幸区"/>
    <x v="22"/>
    <x v="10"/>
    <x v="10"/>
    <x v="10"/>
    <x v="10"/>
    <n v="363"/>
    <n v="13.69"/>
    <n v="290"/>
    <n v="23.14"/>
    <n v="73"/>
    <n v="5.22"/>
    <x v="0"/>
    <n v="0"/>
  </r>
  <r>
    <s v="ti.14132"/>
    <x v="0"/>
    <x v="0"/>
    <x v="2"/>
    <s v="川崎市幸区"/>
    <x v="22"/>
    <x v="11"/>
    <x v="11"/>
    <x v="11"/>
    <x v="11"/>
    <n v="325"/>
    <n v="12.25"/>
    <n v="253"/>
    <n v="20.190000000000001"/>
    <n v="72"/>
    <n v="5.15"/>
    <x v="0"/>
    <n v="0"/>
  </r>
  <r>
    <s v="ti.14132"/>
    <x v="0"/>
    <x v="0"/>
    <x v="2"/>
    <s v="川崎市幸区"/>
    <x v="22"/>
    <x v="12"/>
    <x v="12"/>
    <x v="12"/>
    <x v="12"/>
    <n v="69"/>
    <n v="2.6"/>
    <n v="45"/>
    <n v="3.59"/>
    <n v="24"/>
    <n v="1.72"/>
    <x v="0"/>
    <n v="0"/>
  </r>
  <r>
    <s v="ti.14132"/>
    <x v="0"/>
    <x v="0"/>
    <x v="2"/>
    <s v="川崎市幸区"/>
    <x v="22"/>
    <x v="13"/>
    <x v="13"/>
    <x v="13"/>
    <x v="13"/>
    <n v="109"/>
    <n v="4.1100000000000003"/>
    <n v="76"/>
    <n v="6.07"/>
    <n v="33"/>
    <n v="2.36"/>
    <x v="0"/>
    <n v="0"/>
  </r>
  <r>
    <s v="ti.14132"/>
    <x v="0"/>
    <x v="0"/>
    <x v="2"/>
    <s v="川崎市幸区"/>
    <x v="22"/>
    <x v="14"/>
    <x v="14"/>
    <x v="14"/>
    <x v="14"/>
    <n v="62"/>
    <n v="2.34"/>
    <n v="12"/>
    <n v="0.96"/>
    <n v="50"/>
    <n v="3.58"/>
    <x v="0"/>
    <n v="0"/>
  </r>
  <r>
    <s v="ti.14133"/>
    <x v="0"/>
    <x v="0"/>
    <x v="2"/>
    <s v="川崎市中原区"/>
    <x v="23"/>
    <x v="0"/>
    <x v="0"/>
    <x v="0"/>
    <x v="0"/>
    <n v="0"/>
    <n v="0"/>
    <n v="0"/>
    <n v="0"/>
    <n v="0"/>
    <n v="0"/>
    <x v="0"/>
    <n v="0"/>
  </r>
  <r>
    <s v="ti.14133"/>
    <x v="0"/>
    <x v="0"/>
    <x v="2"/>
    <s v="川崎市中原区"/>
    <x v="23"/>
    <x v="1"/>
    <x v="1"/>
    <x v="1"/>
    <x v="1"/>
    <n v="360"/>
    <n v="9.2200000000000006"/>
    <n v="52"/>
    <n v="2.92"/>
    <n v="308"/>
    <n v="14.51"/>
    <x v="0"/>
    <n v="0"/>
  </r>
  <r>
    <s v="ti.14133"/>
    <x v="0"/>
    <x v="0"/>
    <x v="2"/>
    <s v="川崎市中原区"/>
    <x v="23"/>
    <x v="2"/>
    <x v="2"/>
    <x v="2"/>
    <x v="2"/>
    <n v="402"/>
    <n v="10.29"/>
    <n v="86"/>
    <n v="4.83"/>
    <n v="316"/>
    <n v="14.88"/>
    <x v="0"/>
    <n v="0"/>
  </r>
  <r>
    <s v="ti.14133"/>
    <x v="0"/>
    <x v="0"/>
    <x v="2"/>
    <s v="川崎市中原区"/>
    <x v="23"/>
    <x v="3"/>
    <x v="3"/>
    <x v="3"/>
    <x v="3"/>
    <n v="0"/>
    <n v="0"/>
    <n v="0"/>
    <n v="0"/>
    <n v="0"/>
    <n v="0"/>
    <x v="0"/>
    <n v="0"/>
  </r>
  <r>
    <s v="ti.14133"/>
    <x v="0"/>
    <x v="0"/>
    <x v="2"/>
    <s v="川崎市中原区"/>
    <x v="23"/>
    <x v="4"/>
    <x v="4"/>
    <x v="4"/>
    <x v="4"/>
    <n v="50"/>
    <n v="1.28"/>
    <n v="3"/>
    <n v="0.17"/>
    <n v="47"/>
    <n v="2.21"/>
    <x v="0"/>
    <n v="0"/>
  </r>
  <r>
    <s v="ti.14133"/>
    <x v="0"/>
    <x v="0"/>
    <x v="2"/>
    <s v="川崎市中原区"/>
    <x v="23"/>
    <x v="5"/>
    <x v="5"/>
    <x v="5"/>
    <x v="5"/>
    <n v="31"/>
    <n v="0.79"/>
    <n v="22"/>
    <n v="1.24"/>
    <n v="9"/>
    <n v="0.42"/>
    <x v="0"/>
    <n v="0"/>
  </r>
  <r>
    <s v="ti.14133"/>
    <x v="0"/>
    <x v="0"/>
    <x v="2"/>
    <s v="川崎市中原区"/>
    <x v="23"/>
    <x v="6"/>
    <x v="6"/>
    <x v="6"/>
    <x v="6"/>
    <n v="804"/>
    <n v="20.59"/>
    <n v="309"/>
    <n v="17.350000000000001"/>
    <n v="495"/>
    <n v="23.32"/>
    <x v="0"/>
    <n v="0"/>
  </r>
  <r>
    <s v="ti.14133"/>
    <x v="0"/>
    <x v="0"/>
    <x v="2"/>
    <s v="川崎市中原区"/>
    <x v="23"/>
    <x v="7"/>
    <x v="7"/>
    <x v="7"/>
    <x v="7"/>
    <n v="24"/>
    <n v="0.61"/>
    <n v="1"/>
    <n v="0.06"/>
    <n v="23"/>
    <n v="1.08"/>
    <x v="0"/>
    <n v="0"/>
  </r>
  <r>
    <s v="ti.14133"/>
    <x v="0"/>
    <x v="0"/>
    <x v="2"/>
    <s v="川崎市中原区"/>
    <x v="23"/>
    <x v="8"/>
    <x v="8"/>
    <x v="8"/>
    <x v="8"/>
    <n v="502"/>
    <n v="12.86"/>
    <n v="171"/>
    <n v="9.6"/>
    <n v="331"/>
    <n v="15.59"/>
    <x v="0"/>
    <n v="0"/>
  </r>
  <r>
    <s v="ti.14133"/>
    <x v="0"/>
    <x v="0"/>
    <x v="2"/>
    <s v="川崎市中原区"/>
    <x v="23"/>
    <x v="9"/>
    <x v="9"/>
    <x v="9"/>
    <x v="9"/>
    <n v="172"/>
    <n v="4.4000000000000004"/>
    <n v="83"/>
    <n v="4.66"/>
    <n v="89"/>
    <n v="4.1900000000000004"/>
    <x v="0"/>
    <n v="0"/>
  </r>
  <r>
    <s v="ti.14133"/>
    <x v="0"/>
    <x v="0"/>
    <x v="2"/>
    <s v="川崎市中原区"/>
    <x v="23"/>
    <x v="10"/>
    <x v="10"/>
    <x v="10"/>
    <x v="10"/>
    <n v="645"/>
    <n v="16.52"/>
    <n v="460"/>
    <n v="25.83"/>
    <n v="185"/>
    <n v="8.7100000000000009"/>
    <x v="0"/>
    <n v="0"/>
  </r>
  <r>
    <s v="ti.14133"/>
    <x v="0"/>
    <x v="0"/>
    <x v="2"/>
    <s v="川崎市中原区"/>
    <x v="23"/>
    <x v="11"/>
    <x v="11"/>
    <x v="11"/>
    <x v="11"/>
    <n v="448"/>
    <n v="11.47"/>
    <n v="307"/>
    <n v="17.239999999999998"/>
    <n v="141"/>
    <n v="6.64"/>
    <x v="0"/>
    <n v="0"/>
  </r>
  <r>
    <s v="ti.14133"/>
    <x v="0"/>
    <x v="0"/>
    <x v="2"/>
    <s v="川崎市中原区"/>
    <x v="23"/>
    <x v="12"/>
    <x v="12"/>
    <x v="12"/>
    <x v="12"/>
    <n v="132"/>
    <n v="3.38"/>
    <n v="90"/>
    <n v="5.05"/>
    <n v="42"/>
    <n v="1.98"/>
    <x v="0"/>
    <n v="0"/>
  </r>
  <r>
    <s v="ti.14133"/>
    <x v="0"/>
    <x v="0"/>
    <x v="2"/>
    <s v="川崎市中原区"/>
    <x v="23"/>
    <x v="13"/>
    <x v="13"/>
    <x v="13"/>
    <x v="13"/>
    <n v="252"/>
    <n v="6.45"/>
    <n v="181"/>
    <n v="10.16"/>
    <n v="71"/>
    <n v="3.34"/>
    <x v="0"/>
    <n v="0"/>
  </r>
  <r>
    <s v="ti.14133"/>
    <x v="0"/>
    <x v="0"/>
    <x v="2"/>
    <s v="川崎市中原区"/>
    <x v="23"/>
    <x v="14"/>
    <x v="14"/>
    <x v="14"/>
    <x v="14"/>
    <n v="83"/>
    <n v="2.13"/>
    <n v="16"/>
    <n v="0.9"/>
    <n v="66"/>
    <n v="3.11"/>
    <x v="14"/>
    <n v="100"/>
  </r>
  <r>
    <s v="ti.14134"/>
    <x v="0"/>
    <x v="0"/>
    <x v="2"/>
    <s v="川崎市高津区"/>
    <x v="24"/>
    <x v="0"/>
    <x v="0"/>
    <x v="0"/>
    <x v="0"/>
    <n v="0"/>
    <n v="0"/>
    <n v="0"/>
    <n v="0"/>
    <n v="0"/>
    <n v="0"/>
    <x v="0"/>
    <n v="0"/>
  </r>
  <r>
    <s v="ti.14134"/>
    <x v="0"/>
    <x v="0"/>
    <x v="2"/>
    <s v="川崎市高津区"/>
    <x v="24"/>
    <x v="1"/>
    <x v="1"/>
    <x v="1"/>
    <x v="1"/>
    <n v="440"/>
    <n v="13.31"/>
    <n v="79"/>
    <n v="6.28"/>
    <n v="361"/>
    <n v="17.64"/>
    <x v="0"/>
    <n v="0"/>
  </r>
  <r>
    <s v="ti.14134"/>
    <x v="0"/>
    <x v="0"/>
    <x v="2"/>
    <s v="川崎市高津区"/>
    <x v="24"/>
    <x v="2"/>
    <x v="2"/>
    <x v="2"/>
    <x v="2"/>
    <n v="489"/>
    <n v="14.79"/>
    <n v="98"/>
    <n v="7.79"/>
    <n v="391"/>
    <n v="19.100000000000001"/>
    <x v="0"/>
    <n v="0"/>
  </r>
  <r>
    <s v="ti.14134"/>
    <x v="0"/>
    <x v="0"/>
    <x v="2"/>
    <s v="川崎市高津区"/>
    <x v="24"/>
    <x v="3"/>
    <x v="3"/>
    <x v="3"/>
    <x v="3"/>
    <n v="0"/>
    <n v="0"/>
    <n v="0"/>
    <n v="0"/>
    <n v="0"/>
    <n v="0"/>
    <x v="0"/>
    <n v="0"/>
  </r>
  <r>
    <s v="ti.14134"/>
    <x v="0"/>
    <x v="0"/>
    <x v="2"/>
    <s v="川崎市高津区"/>
    <x v="24"/>
    <x v="4"/>
    <x v="4"/>
    <x v="4"/>
    <x v="4"/>
    <n v="59"/>
    <n v="1.78"/>
    <n v="1"/>
    <n v="0.08"/>
    <n v="58"/>
    <n v="2.83"/>
    <x v="0"/>
    <n v="0"/>
  </r>
  <r>
    <s v="ti.14134"/>
    <x v="0"/>
    <x v="0"/>
    <x v="2"/>
    <s v="川崎市高津区"/>
    <x v="24"/>
    <x v="5"/>
    <x v="5"/>
    <x v="5"/>
    <x v="5"/>
    <n v="40"/>
    <n v="1.21"/>
    <n v="19"/>
    <n v="1.51"/>
    <n v="21"/>
    <n v="1.03"/>
    <x v="0"/>
    <n v="0"/>
  </r>
  <r>
    <s v="ti.14134"/>
    <x v="0"/>
    <x v="0"/>
    <x v="2"/>
    <s v="川崎市高津区"/>
    <x v="24"/>
    <x v="6"/>
    <x v="6"/>
    <x v="6"/>
    <x v="6"/>
    <n v="543"/>
    <n v="16.420000000000002"/>
    <n v="162"/>
    <n v="12.88"/>
    <n v="381"/>
    <n v="18.61"/>
    <x v="0"/>
    <n v="0"/>
  </r>
  <r>
    <s v="ti.14134"/>
    <x v="0"/>
    <x v="0"/>
    <x v="2"/>
    <s v="川崎市高津区"/>
    <x v="24"/>
    <x v="7"/>
    <x v="7"/>
    <x v="7"/>
    <x v="7"/>
    <n v="15"/>
    <n v="0.45"/>
    <n v="2"/>
    <n v="0.16"/>
    <n v="13"/>
    <n v="0.64"/>
    <x v="0"/>
    <n v="0"/>
  </r>
  <r>
    <s v="ti.14134"/>
    <x v="0"/>
    <x v="0"/>
    <x v="2"/>
    <s v="川崎市高津区"/>
    <x v="24"/>
    <x v="8"/>
    <x v="8"/>
    <x v="8"/>
    <x v="8"/>
    <n v="559"/>
    <n v="16.899999999999999"/>
    <n v="216"/>
    <n v="17.170000000000002"/>
    <n v="343"/>
    <n v="16.760000000000002"/>
    <x v="0"/>
    <n v="0"/>
  </r>
  <r>
    <s v="ti.14134"/>
    <x v="0"/>
    <x v="0"/>
    <x v="2"/>
    <s v="川崎市高津区"/>
    <x v="24"/>
    <x v="9"/>
    <x v="9"/>
    <x v="9"/>
    <x v="9"/>
    <n v="123"/>
    <n v="3.72"/>
    <n v="45"/>
    <n v="3.58"/>
    <n v="78"/>
    <n v="3.81"/>
    <x v="0"/>
    <n v="0"/>
  </r>
  <r>
    <s v="ti.14134"/>
    <x v="0"/>
    <x v="0"/>
    <x v="2"/>
    <s v="川崎市高津区"/>
    <x v="24"/>
    <x v="10"/>
    <x v="10"/>
    <x v="10"/>
    <x v="10"/>
    <n v="360"/>
    <n v="10.89"/>
    <n v="263"/>
    <n v="20.91"/>
    <n v="97"/>
    <n v="4.74"/>
    <x v="0"/>
    <n v="0"/>
  </r>
  <r>
    <s v="ti.14134"/>
    <x v="0"/>
    <x v="0"/>
    <x v="2"/>
    <s v="川崎市高津区"/>
    <x v="24"/>
    <x v="11"/>
    <x v="11"/>
    <x v="11"/>
    <x v="11"/>
    <n v="328"/>
    <n v="9.92"/>
    <n v="202"/>
    <n v="16.059999999999999"/>
    <n v="126"/>
    <n v="6.16"/>
    <x v="0"/>
    <n v="0"/>
  </r>
  <r>
    <s v="ti.14134"/>
    <x v="0"/>
    <x v="0"/>
    <x v="2"/>
    <s v="川崎市高津区"/>
    <x v="24"/>
    <x v="12"/>
    <x v="12"/>
    <x v="12"/>
    <x v="12"/>
    <n v="88"/>
    <n v="2.66"/>
    <n v="54"/>
    <n v="4.29"/>
    <n v="33"/>
    <n v="1.61"/>
    <x v="14"/>
    <n v="50"/>
  </r>
  <r>
    <s v="ti.14134"/>
    <x v="0"/>
    <x v="0"/>
    <x v="2"/>
    <s v="川崎市高津区"/>
    <x v="24"/>
    <x v="13"/>
    <x v="13"/>
    <x v="13"/>
    <x v="13"/>
    <n v="161"/>
    <n v="4.87"/>
    <n v="93"/>
    <n v="7.39"/>
    <n v="67"/>
    <n v="3.27"/>
    <x v="14"/>
    <n v="50"/>
  </r>
  <r>
    <s v="ti.14134"/>
    <x v="0"/>
    <x v="0"/>
    <x v="2"/>
    <s v="川崎市高津区"/>
    <x v="24"/>
    <x v="14"/>
    <x v="14"/>
    <x v="14"/>
    <x v="14"/>
    <n v="102"/>
    <n v="3.08"/>
    <n v="24"/>
    <n v="1.91"/>
    <n v="78"/>
    <n v="3.81"/>
    <x v="0"/>
    <n v="0"/>
  </r>
  <r>
    <s v="ti.14135"/>
    <x v="0"/>
    <x v="0"/>
    <x v="2"/>
    <s v="川崎市多摩区"/>
    <x v="25"/>
    <x v="0"/>
    <x v="0"/>
    <x v="0"/>
    <x v="0"/>
    <n v="0"/>
    <n v="0"/>
    <n v="0"/>
    <n v="0"/>
    <n v="0"/>
    <n v="0"/>
    <x v="0"/>
    <n v="0"/>
  </r>
  <r>
    <s v="ti.14135"/>
    <x v="0"/>
    <x v="0"/>
    <x v="2"/>
    <s v="川崎市多摩区"/>
    <x v="25"/>
    <x v="1"/>
    <x v="1"/>
    <x v="1"/>
    <x v="1"/>
    <n v="404"/>
    <n v="14.15"/>
    <n v="82"/>
    <n v="6.28"/>
    <n v="322"/>
    <n v="20.81"/>
    <x v="0"/>
    <n v="0"/>
  </r>
  <r>
    <s v="ti.14135"/>
    <x v="0"/>
    <x v="0"/>
    <x v="2"/>
    <s v="川崎市多摩区"/>
    <x v="25"/>
    <x v="2"/>
    <x v="2"/>
    <x v="2"/>
    <x v="2"/>
    <n v="148"/>
    <n v="5.18"/>
    <n v="38"/>
    <n v="2.91"/>
    <n v="110"/>
    <n v="7.11"/>
    <x v="0"/>
    <n v="0"/>
  </r>
  <r>
    <s v="ti.14135"/>
    <x v="0"/>
    <x v="0"/>
    <x v="2"/>
    <s v="川崎市多摩区"/>
    <x v="25"/>
    <x v="3"/>
    <x v="3"/>
    <x v="3"/>
    <x v="3"/>
    <n v="0"/>
    <n v="0"/>
    <n v="0"/>
    <n v="0"/>
    <n v="0"/>
    <n v="0"/>
    <x v="0"/>
    <n v="0"/>
  </r>
  <r>
    <s v="ti.14135"/>
    <x v="0"/>
    <x v="0"/>
    <x v="2"/>
    <s v="川崎市多摩区"/>
    <x v="25"/>
    <x v="4"/>
    <x v="4"/>
    <x v="4"/>
    <x v="4"/>
    <n v="47"/>
    <n v="1.65"/>
    <n v="0"/>
    <n v="0"/>
    <n v="47"/>
    <n v="3.04"/>
    <x v="0"/>
    <n v="0"/>
  </r>
  <r>
    <s v="ti.14135"/>
    <x v="0"/>
    <x v="0"/>
    <x v="2"/>
    <s v="川崎市多摩区"/>
    <x v="25"/>
    <x v="5"/>
    <x v="5"/>
    <x v="5"/>
    <x v="5"/>
    <n v="28"/>
    <n v="0.98"/>
    <n v="18"/>
    <n v="1.38"/>
    <n v="10"/>
    <n v="0.65"/>
    <x v="0"/>
    <n v="0"/>
  </r>
  <r>
    <s v="ti.14135"/>
    <x v="0"/>
    <x v="0"/>
    <x v="2"/>
    <s v="川崎市多摩区"/>
    <x v="25"/>
    <x v="6"/>
    <x v="6"/>
    <x v="6"/>
    <x v="6"/>
    <n v="538"/>
    <n v="18.84"/>
    <n v="231"/>
    <n v="17.7"/>
    <n v="307"/>
    <n v="19.84"/>
    <x v="0"/>
    <n v="0"/>
  </r>
  <r>
    <s v="ti.14135"/>
    <x v="0"/>
    <x v="0"/>
    <x v="2"/>
    <s v="川崎市多摩区"/>
    <x v="25"/>
    <x v="7"/>
    <x v="7"/>
    <x v="7"/>
    <x v="7"/>
    <n v="8"/>
    <n v="0.28000000000000003"/>
    <n v="1"/>
    <n v="0.08"/>
    <n v="7"/>
    <n v="0.45"/>
    <x v="0"/>
    <n v="0"/>
  </r>
  <r>
    <s v="ti.14135"/>
    <x v="0"/>
    <x v="0"/>
    <x v="2"/>
    <s v="川崎市多摩区"/>
    <x v="25"/>
    <x v="8"/>
    <x v="8"/>
    <x v="8"/>
    <x v="8"/>
    <n v="448"/>
    <n v="15.69"/>
    <n v="154"/>
    <n v="11.8"/>
    <n v="294"/>
    <n v="19"/>
    <x v="0"/>
    <n v="0"/>
  </r>
  <r>
    <s v="ti.14135"/>
    <x v="0"/>
    <x v="0"/>
    <x v="2"/>
    <s v="川崎市多摩区"/>
    <x v="25"/>
    <x v="9"/>
    <x v="9"/>
    <x v="9"/>
    <x v="9"/>
    <n v="183"/>
    <n v="6.41"/>
    <n v="68"/>
    <n v="5.21"/>
    <n v="115"/>
    <n v="7.43"/>
    <x v="0"/>
    <n v="0"/>
  </r>
  <r>
    <s v="ti.14135"/>
    <x v="0"/>
    <x v="0"/>
    <x v="2"/>
    <s v="川崎市多摩区"/>
    <x v="25"/>
    <x v="10"/>
    <x v="10"/>
    <x v="10"/>
    <x v="10"/>
    <n v="338"/>
    <n v="11.84"/>
    <n v="268"/>
    <n v="20.54"/>
    <n v="69"/>
    <n v="4.46"/>
    <x v="14"/>
    <n v="33.33"/>
  </r>
  <r>
    <s v="ti.14135"/>
    <x v="0"/>
    <x v="0"/>
    <x v="2"/>
    <s v="川崎市多摩区"/>
    <x v="25"/>
    <x v="11"/>
    <x v="11"/>
    <x v="11"/>
    <x v="11"/>
    <n v="359"/>
    <n v="12.57"/>
    <n v="244"/>
    <n v="18.7"/>
    <n v="115"/>
    <n v="7.43"/>
    <x v="0"/>
    <n v="0"/>
  </r>
  <r>
    <s v="ti.14135"/>
    <x v="0"/>
    <x v="0"/>
    <x v="2"/>
    <s v="川崎市多摩区"/>
    <x v="25"/>
    <x v="12"/>
    <x v="12"/>
    <x v="12"/>
    <x v="12"/>
    <n v="106"/>
    <n v="3.71"/>
    <n v="72"/>
    <n v="5.52"/>
    <n v="33"/>
    <n v="2.13"/>
    <x v="14"/>
    <n v="33.33"/>
  </r>
  <r>
    <s v="ti.14135"/>
    <x v="0"/>
    <x v="0"/>
    <x v="2"/>
    <s v="川崎市多摩区"/>
    <x v="25"/>
    <x v="13"/>
    <x v="13"/>
    <x v="13"/>
    <x v="13"/>
    <n v="184"/>
    <n v="6.44"/>
    <n v="111"/>
    <n v="8.51"/>
    <n v="73"/>
    <n v="4.72"/>
    <x v="0"/>
    <n v="0"/>
  </r>
  <r>
    <s v="ti.14135"/>
    <x v="0"/>
    <x v="0"/>
    <x v="2"/>
    <s v="川崎市多摩区"/>
    <x v="25"/>
    <x v="14"/>
    <x v="14"/>
    <x v="14"/>
    <x v="14"/>
    <n v="64"/>
    <n v="2.2400000000000002"/>
    <n v="18"/>
    <n v="1.38"/>
    <n v="45"/>
    <n v="2.91"/>
    <x v="14"/>
    <n v="33.33"/>
  </r>
  <r>
    <s v="ti.14136"/>
    <x v="0"/>
    <x v="0"/>
    <x v="2"/>
    <s v="川崎市宮前区"/>
    <x v="26"/>
    <x v="0"/>
    <x v="0"/>
    <x v="0"/>
    <x v="0"/>
    <n v="0"/>
    <n v="0"/>
    <n v="0"/>
    <n v="0"/>
    <n v="0"/>
    <n v="0"/>
    <x v="0"/>
    <m/>
  </r>
  <r>
    <s v="ti.14136"/>
    <x v="0"/>
    <x v="0"/>
    <x v="2"/>
    <s v="川崎市宮前区"/>
    <x v="26"/>
    <x v="1"/>
    <x v="1"/>
    <x v="1"/>
    <x v="1"/>
    <n v="417"/>
    <n v="18.010000000000002"/>
    <n v="61"/>
    <n v="7.48"/>
    <n v="356"/>
    <n v="23.73"/>
    <x v="0"/>
    <m/>
  </r>
  <r>
    <s v="ti.14136"/>
    <x v="0"/>
    <x v="0"/>
    <x v="2"/>
    <s v="川崎市宮前区"/>
    <x v="26"/>
    <x v="2"/>
    <x v="2"/>
    <x v="2"/>
    <x v="2"/>
    <n v="205"/>
    <n v="8.85"/>
    <n v="52"/>
    <n v="6.37"/>
    <n v="153"/>
    <n v="10.199999999999999"/>
    <x v="0"/>
    <m/>
  </r>
  <r>
    <s v="ti.14136"/>
    <x v="0"/>
    <x v="0"/>
    <x v="2"/>
    <s v="川崎市宮前区"/>
    <x v="26"/>
    <x v="3"/>
    <x v="3"/>
    <x v="3"/>
    <x v="3"/>
    <n v="1"/>
    <n v="0.04"/>
    <n v="0"/>
    <n v="0"/>
    <n v="1"/>
    <n v="7.0000000000000007E-2"/>
    <x v="0"/>
    <m/>
  </r>
  <r>
    <s v="ti.14136"/>
    <x v="0"/>
    <x v="0"/>
    <x v="2"/>
    <s v="川崎市宮前区"/>
    <x v="26"/>
    <x v="4"/>
    <x v="4"/>
    <x v="4"/>
    <x v="4"/>
    <n v="49"/>
    <n v="2.12"/>
    <n v="0"/>
    <n v="0"/>
    <n v="49"/>
    <n v="3.27"/>
    <x v="0"/>
    <m/>
  </r>
  <r>
    <s v="ti.14136"/>
    <x v="0"/>
    <x v="0"/>
    <x v="2"/>
    <s v="川崎市宮前区"/>
    <x v="26"/>
    <x v="5"/>
    <x v="5"/>
    <x v="5"/>
    <x v="5"/>
    <n v="44"/>
    <n v="1.9"/>
    <n v="26"/>
    <n v="3.19"/>
    <n v="18"/>
    <n v="1.2"/>
    <x v="0"/>
    <m/>
  </r>
  <r>
    <s v="ti.14136"/>
    <x v="0"/>
    <x v="0"/>
    <x v="2"/>
    <s v="川崎市宮前区"/>
    <x v="26"/>
    <x v="6"/>
    <x v="6"/>
    <x v="6"/>
    <x v="6"/>
    <n v="389"/>
    <n v="16.8"/>
    <n v="95"/>
    <n v="11.64"/>
    <n v="294"/>
    <n v="19.600000000000001"/>
    <x v="0"/>
    <m/>
  </r>
  <r>
    <s v="ti.14136"/>
    <x v="0"/>
    <x v="0"/>
    <x v="2"/>
    <s v="川崎市宮前区"/>
    <x v="26"/>
    <x v="7"/>
    <x v="7"/>
    <x v="7"/>
    <x v="7"/>
    <n v="7"/>
    <n v="0.3"/>
    <n v="0"/>
    <n v="0"/>
    <n v="7"/>
    <n v="0.47"/>
    <x v="0"/>
    <m/>
  </r>
  <r>
    <s v="ti.14136"/>
    <x v="0"/>
    <x v="0"/>
    <x v="2"/>
    <s v="川崎市宮前区"/>
    <x v="26"/>
    <x v="8"/>
    <x v="8"/>
    <x v="8"/>
    <x v="8"/>
    <n v="331"/>
    <n v="14.29"/>
    <n v="96"/>
    <n v="11.76"/>
    <n v="235"/>
    <n v="15.67"/>
    <x v="0"/>
    <m/>
  </r>
  <r>
    <s v="ti.14136"/>
    <x v="0"/>
    <x v="0"/>
    <x v="2"/>
    <s v="川崎市宮前区"/>
    <x v="26"/>
    <x v="9"/>
    <x v="9"/>
    <x v="9"/>
    <x v="9"/>
    <n v="124"/>
    <n v="5.35"/>
    <n v="41"/>
    <n v="5.0199999999999996"/>
    <n v="83"/>
    <n v="5.53"/>
    <x v="0"/>
    <m/>
  </r>
  <r>
    <s v="ti.14136"/>
    <x v="0"/>
    <x v="0"/>
    <x v="2"/>
    <s v="川崎市宮前区"/>
    <x v="26"/>
    <x v="10"/>
    <x v="10"/>
    <x v="10"/>
    <x v="10"/>
    <n v="207"/>
    <n v="8.94"/>
    <n v="142"/>
    <n v="17.399999999999999"/>
    <n v="65"/>
    <n v="4.33"/>
    <x v="0"/>
    <m/>
  </r>
  <r>
    <s v="ti.14136"/>
    <x v="0"/>
    <x v="0"/>
    <x v="2"/>
    <s v="川崎市宮前区"/>
    <x v="26"/>
    <x v="11"/>
    <x v="11"/>
    <x v="11"/>
    <x v="11"/>
    <n v="246"/>
    <n v="10.62"/>
    <n v="159"/>
    <n v="19.489999999999998"/>
    <n v="87"/>
    <n v="5.8"/>
    <x v="0"/>
    <m/>
  </r>
  <r>
    <s v="ti.14136"/>
    <x v="0"/>
    <x v="0"/>
    <x v="2"/>
    <s v="川崎市宮前区"/>
    <x v="26"/>
    <x v="12"/>
    <x v="12"/>
    <x v="12"/>
    <x v="12"/>
    <n v="104"/>
    <n v="4.49"/>
    <n v="60"/>
    <n v="7.35"/>
    <n v="44"/>
    <n v="2.93"/>
    <x v="0"/>
    <m/>
  </r>
  <r>
    <s v="ti.14136"/>
    <x v="0"/>
    <x v="0"/>
    <x v="2"/>
    <s v="川崎市宮前区"/>
    <x v="26"/>
    <x v="13"/>
    <x v="13"/>
    <x v="13"/>
    <x v="13"/>
    <n v="112"/>
    <n v="4.84"/>
    <n v="64"/>
    <n v="7.84"/>
    <n v="48"/>
    <n v="3.2"/>
    <x v="0"/>
    <m/>
  </r>
  <r>
    <s v="ti.14136"/>
    <x v="0"/>
    <x v="0"/>
    <x v="2"/>
    <s v="川崎市宮前区"/>
    <x v="26"/>
    <x v="14"/>
    <x v="14"/>
    <x v="14"/>
    <x v="14"/>
    <n v="80"/>
    <n v="3.45"/>
    <n v="20"/>
    <n v="2.4500000000000002"/>
    <n v="60"/>
    <n v="4"/>
    <x v="0"/>
    <m/>
  </r>
  <r>
    <s v="ti.14137"/>
    <x v="0"/>
    <x v="0"/>
    <x v="2"/>
    <s v="川崎市麻生区"/>
    <x v="27"/>
    <x v="0"/>
    <x v="0"/>
    <x v="0"/>
    <x v="0"/>
    <n v="0"/>
    <n v="0"/>
    <n v="0"/>
    <n v="0"/>
    <n v="0"/>
    <n v="0"/>
    <x v="0"/>
    <n v="0"/>
  </r>
  <r>
    <s v="ti.14137"/>
    <x v="0"/>
    <x v="0"/>
    <x v="2"/>
    <s v="川崎市麻生区"/>
    <x v="27"/>
    <x v="1"/>
    <x v="1"/>
    <x v="1"/>
    <x v="1"/>
    <n v="232"/>
    <n v="12.44"/>
    <n v="28"/>
    <n v="4.1500000000000004"/>
    <n v="204"/>
    <n v="17.2"/>
    <x v="0"/>
    <n v="0"/>
  </r>
  <r>
    <s v="ti.14137"/>
    <x v="0"/>
    <x v="0"/>
    <x v="2"/>
    <s v="川崎市麻生区"/>
    <x v="27"/>
    <x v="2"/>
    <x v="2"/>
    <x v="2"/>
    <x v="2"/>
    <n v="104"/>
    <n v="5.58"/>
    <n v="30"/>
    <n v="4.4400000000000004"/>
    <n v="74"/>
    <n v="6.24"/>
    <x v="0"/>
    <n v="0"/>
  </r>
  <r>
    <s v="ti.14137"/>
    <x v="0"/>
    <x v="0"/>
    <x v="2"/>
    <s v="川崎市麻生区"/>
    <x v="27"/>
    <x v="3"/>
    <x v="3"/>
    <x v="3"/>
    <x v="3"/>
    <n v="0"/>
    <n v="0"/>
    <n v="0"/>
    <n v="0"/>
    <n v="0"/>
    <n v="0"/>
    <x v="0"/>
    <n v="0"/>
  </r>
  <r>
    <s v="ti.14137"/>
    <x v="0"/>
    <x v="0"/>
    <x v="2"/>
    <s v="川崎市麻生区"/>
    <x v="27"/>
    <x v="4"/>
    <x v="4"/>
    <x v="4"/>
    <x v="4"/>
    <n v="51"/>
    <n v="2.73"/>
    <n v="0"/>
    <n v="0"/>
    <n v="51"/>
    <n v="4.3"/>
    <x v="0"/>
    <n v="0"/>
  </r>
  <r>
    <s v="ti.14137"/>
    <x v="0"/>
    <x v="0"/>
    <x v="2"/>
    <s v="川崎市麻生区"/>
    <x v="27"/>
    <x v="5"/>
    <x v="5"/>
    <x v="5"/>
    <x v="5"/>
    <n v="29"/>
    <n v="1.55"/>
    <n v="21"/>
    <n v="3.11"/>
    <n v="8"/>
    <n v="0.67"/>
    <x v="0"/>
    <n v="0"/>
  </r>
  <r>
    <s v="ti.14137"/>
    <x v="0"/>
    <x v="0"/>
    <x v="2"/>
    <s v="川崎市麻生区"/>
    <x v="27"/>
    <x v="6"/>
    <x v="6"/>
    <x v="6"/>
    <x v="6"/>
    <n v="368"/>
    <n v="19.73"/>
    <n v="102"/>
    <n v="15.11"/>
    <n v="265"/>
    <n v="22.34"/>
    <x v="14"/>
    <n v="25"/>
  </r>
  <r>
    <s v="ti.14137"/>
    <x v="0"/>
    <x v="0"/>
    <x v="2"/>
    <s v="川崎市麻生区"/>
    <x v="27"/>
    <x v="7"/>
    <x v="7"/>
    <x v="7"/>
    <x v="7"/>
    <n v="14"/>
    <n v="0.75"/>
    <n v="0"/>
    <n v="0"/>
    <n v="14"/>
    <n v="1.18"/>
    <x v="0"/>
    <n v="0"/>
  </r>
  <r>
    <s v="ti.14137"/>
    <x v="0"/>
    <x v="0"/>
    <x v="2"/>
    <s v="川崎市麻生区"/>
    <x v="27"/>
    <x v="8"/>
    <x v="8"/>
    <x v="8"/>
    <x v="8"/>
    <n v="241"/>
    <n v="12.92"/>
    <n v="84"/>
    <n v="12.44"/>
    <n v="157"/>
    <n v="13.24"/>
    <x v="0"/>
    <n v="0"/>
  </r>
  <r>
    <s v="ti.14137"/>
    <x v="0"/>
    <x v="0"/>
    <x v="2"/>
    <s v="川崎市麻生区"/>
    <x v="27"/>
    <x v="9"/>
    <x v="9"/>
    <x v="9"/>
    <x v="9"/>
    <n v="181"/>
    <n v="9.7100000000000009"/>
    <n v="45"/>
    <n v="6.67"/>
    <n v="135"/>
    <n v="11.38"/>
    <x v="14"/>
    <n v="25"/>
  </r>
  <r>
    <s v="ti.14137"/>
    <x v="0"/>
    <x v="0"/>
    <x v="2"/>
    <s v="川崎市麻生区"/>
    <x v="27"/>
    <x v="10"/>
    <x v="10"/>
    <x v="10"/>
    <x v="10"/>
    <n v="162"/>
    <n v="8.69"/>
    <n v="103"/>
    <n v="15.26"/>
    <n v="59"/>
    <n v="4.97"/>
    <x v="0"/>
    <n v="0"/>
  </r>
  <r>
    <s v="ti.14137"/>
    <x v="0"/>
    <x v="0"/>
    <x v="2"/>
    <s v="川崎市麻生区"/>
    <x v="27"/>
    <x v="11"/>
    <x v="11"/>
    <x v="11"/>
    <x v="11"/>
    <n v="192"/>
    <n v="10.29"/>
    <n v="105"/>
    <n v="15.56"/>
    <n v="87"/>
    <n v="7.34"/>
    <x v="0"/>
    <n v="0"/>
  </r>
  <r>
    <s v="ti.14137"/>
    <x v="0"/>
    <x v="0"/>
    <x v="2"/>
    <s v="川崎市麻生区"/>
    <x v="27"/>
    <x v="12"/>
    <x v="12"/>
    <x v="12"/>
    <x v="12"/>
    <n v="99"/>
    <n v="5.31"/>
    <n v="61"/>
    <n v="9.0399999999999991"/>
    <n v="37"/>
    <n v="3.12"/>
    <x v="14"/>
    <n v="25"/>
  </r>
  <r>
    <s v="ti.14137"/>
    <x v="0"/>
    <x v="0"/>
    <x v="2"/>
    <s v="川崎市麻生区"/>
    <x v="27"/>
    <x v="13"/>
    <x v="13"/>
    <x v="13"/>
    <x v="13"/>
    <n v="128"/>
    <n v="6.86"/>
    <n v="79"/>
    <n v="11.7"/>
    <n v="49"/>
    <n v="4.13"/>
    <x v="0"/>
    <n v="0"/>
  </r>
  <r>
    <s v="ti.14137"/>
    <x v="0"/>
    <x v="0"/>
    <x v="2"/>
    <s v="川崎市麻生区"/>
    <x v="27"/>
    <x v="14"/>
    <x v="14"/>
    <x v="14"/>
    <x v="14"/>
    <n v="64"/>
    <n v="3.43"/>
    <n v="17"/>
    <n v="2.52"/>
    <n v="46"/>
    <n v="3.88"/>
    <x v="14"/>
    <n v="25"/>
  </r>
  <r>
    <s v="ti.14150"/>
    <x v="0"/>
    <x v="0"/>
    <x v="1"/>
    <s v="相模原市"/>
    <x v="28"/>
    <x v="0"/>
    <x v="0"/>
    <x v="0"/>
    <x v="0"/>
    <n v="1"/>
    <n v="0.01"/>
    <n v="0"/>
    <n v="0"/>
    <n v="1"/>
    <n v="0.01"/>
    <x v="0"/>
    <n v="0"/>
  </r>
  <r>
    <s v="ti.14150"/>
    <x v="0"/>
    <x v="0"/>
    <x v="1"/>
    <s v="相模原市"/>
    <x v="28"/>
    <x v="1"/>
    <x v="1"/>
    <x v="1"/>
    <x v="1"/>
    <n v="2166"/>
    <n v="16.34"/>
    <n v="515"/>
    <n v="8.11"/>
    <n v="1651"/>
    <n v="23.96"/>
    <x v="0"/>
    <n v="0"/>
  </r>
  <r>
    <s v="ti.14150"/>
    <x v="0"/>
    <x v="0"/>
    <x v="1"/>
    <s v="相模原市"/>
    <x v="28"/>
    <x v="2"/>
    <x v="2"/>
    <x v="2"/>
    <x v="2"/>
    <n v="1322"/>
    <n v="9.98"/>
    <n v="293"/>
    <n v="4.6100000000000003"/>
    <n v="1029"/>
    <n v="14.93"/>
    <x v="0"/>
    <n v="0"/>
  </r>
  <r>
    <s v="ti.14150"/>
    <x v="0"/>
    <x v="0"/>
    <x v="1"/>
    <s v="相模原市"/>
    <x v="28"/>
    <x v="3"/>
    <x v="3"/>
    <x v="3"/>
    <x v="3"/>
    <n v="0"/>
    <n v="0"/>
    <n v="0"/>
    <n v="0"/>
    <n v="0"/>
    <n v="0"/>
    <x v="0"/>
    <n v="0"/>
  </r>
  <r>
    <s v="ti.14150"/>
    <x v="0"/>
    <x v="0"/>
    <x v="1"/>
    <s v="相模原市"/>
    <x v="28"/>
    <x v="4"/>
    <x v="4"/>
    <x v="4"/>
    <x v="4"/>
    <n v="135"/>
    <n v="1.02"/>
    <n v="9"/>
    <n v="0.14000000000000001"/>
    <n v="124"/>
    <n v="1.8"/>
    <x v="13"/>
    <n v="15.38"/>
  </r>
  <r>
    <s v="ti.14150"/>
    <x v="0"/>
    <x v="0"/>
    <x v="1"/>
    <s v="相模原市"/>
    <x v="28"/>
    <x v="5"/>
    <x v="5"/>
    <x v="5"/>
    <x v="5"/>
    <n v="139"/>
    <n v="1.05"/>
    <n v="47"/>
    <n v="0.74"/>
    <n v="92"/>
    <n v="1.34"/>
    <x v="0"/>
    <n v="0"/>
  </r>
  <r>
    <s v="ti.14150"/>
    <x v="0"/>
    <x v="0"/>
    <x v="1"/>
    <s v="相模原市"/>
    <x v="28"/>
    <x v="6"/>
    <x v="6"/>
    <x v="6"/>
    <x v="6"/>
    <n v="2404"/>
    <n v="18.14"/>
    <n v="928"/>
    <n v="14.62"/>
    <n v="1474"/>
    <n v="21.39"/>
    <x v="13"/>
    <n v="15.38"/>
  </r>
  <r>
    <s v="ti.14150"/>
    <x v="0"/>
    <x v="0"/>
    <x v="1"/>
    <s v="相模原市"/>
    <x v="28"/>
    <x v="7"/>
    <x v="7"/>
    <x v="7"/>
    <x v="7"/>
    <n v="64"/>
    <n v="0.48"/>
    <n v="11"/>
    <n v="0.17"/>
    <n v="53"/>
    <n v="0.77"/>
    <x v="0"/>
    <n v="0"/>
  </r>
  <r>
    <s v="ti.14150"/>
    <x v="0"/>
    <x v="0"/>
    <x v="1"/>
    <s v="相模原市"/>
    <x v="28"/>
    <x v="8"/>
    <x v="8"/>
    <x v="8"/>
    <x v="8"/>
    <n v="1583"/>
    <n v="11.94"/>
    <n v="818"/>
    <n v="12.88"/>
    <n v="763"/>
    <n v="11.07"/>
    <x v="13"/>
    <n v="15.38"/>
  </r>
  <r>
    <s v="ti.14150"/>
    <x v="0"/>
    <x v="0"/>
    <x v="1"/>
    <s v="相模原市"/>
    <x v="28"/>
    <x v="9"/>
    <x v="9"/>
    <x v="9"/>
    <x v="9"/>
    <n v="697"/>
    <n v="5.26"/>
    <n v="338"/>
    <n v="5.32"/>
    <n v="358"/>
    <n v="5.2"/>
    <x v="14"/>
    <n v="7.69"/>
  </r>
  <r>
    <s v="ti.14150"/>
    <x v="0"/>
    <x v="0"/>
    <x v="1"/>
    <s v="相模原市"/>
    <x v="28"/>
    <x v="10"/>
    <x v="10"/>
    <x v="10"/>
    <x v="10"/>
    <n v="1391"/>
    <n v="10.5"/>
    <n v="1126"/>
    <n v="17.739999999999998"/>
    <n v="264"/>
    <n v="3.83"/>
    <x v="14"/>
    <n v="7.69"/>
  </r>
  <r>
    <s v="ti.14150"/>
    <x v="0"/>
    <x v="0"/>
    <x v="1"/>
    <s v="相模原市"/>
    <x v="28"/>
    <x v="11"/>
    <x v="11"/>
    <x v="11"/>
    <x v="11"/>
    <n v="1617"/>
    <n v="12.2"/>
    <n v="1223"/>
    <n v="19.260000000000002"/>
    <n v="393"/>
    <n v="5.7"/>
    <x v="14"/>
    <n v="7.69"/>
  </r>
  <r>
    <s v="ti.14150"/>
    <x v="0"/>
    <x v="0"/>
    <x v="1"/>
    <s v="相模原市"/>
    <x v="28"/>
    <x v="12"/>
    <x v="12"/>
    <x v="12"/>
    <x v="12"/>
    <n v="602"/>
    <n v="4.54"/>
    <n v="458"/>
    <n v="7.21"/>
    <n v="141"/>
    <n v="2.0499999999999998"/>
    <x v="2"/>
    <n v="23.08"/>
  </r>
  <r>
    <s v="ti.14150"/>
    <x v="0"/>
    <x v="0"/>
    <x v="1"/>
    <s v="相模原市"/>
    <x v="28"/>
    <x v="13"/>
    <x v="13"/>
    <x v="13"/>
    <x v="13"/>
    <n v="696"/>
    <n v="5.25"/>
    <n v="450"/>
    <n v="7.09"/>
    <n v="245"/>
    <n v="3.56"/>
    <x v="14"/>
    <n v="7.69"/>
  </r>
  <r>
    <s v="ti.14150"/>
    <x v="0"/>
    <x v="0"/>
    <x v="1"/>
    <s v="相模原市"/>
    <x v="28"/>
    <x v="14"/>
    <x v="14"/>
    <x v="14"/>
    <x v="14"/>
    <n v="436"/>
    <n v="3.29"/>
    <n v="133"/>
    <n v="2.09"/>
    <n v="303"/>
    <n v="4.4000000000000004"/>
    <x v="0"/>
    <n v="0"/>
  </r>
  <r>
    <s v="ti.14151"/>
    <x v="0"/>
    <x v="0"/>
    <x v="2"/>
    <s v="相模原市緑区"/>
    <x v="29"/>
    <x v="0"/>
    <x v="0"/>
    <x v="0"/>
    <x v="0"/>
    <n v="1"/>
    <n v="0.03"/>
    <n v="0"/>
    <n v="0"/>
    <n v="1"/>
    <n v="0.06"/>
    <x v="0"/>
    <n v="0"/>
  </r>
  <r>
    <s v="ti.14151"/>
    <x v="0"/>
    <x v="0"/>
    <x v="2"/>
    <s v="相模原市緑区"/>
    <x v="29"/>
    <x v="1"/>
    <x v="1"/>
    <x v="1"/>
    <x v="1"/>
    <n v="618"/>
    <n v="17.61"/>
    <n v="205"/>
    <n v="11.61"/>
    <n v="413"/>
    <n v="23.71"/>
    <x v="0"/>
    <n v="0"/>
  </r>
  <r>
    <s v="ti.14151"/>
    <x v="0"/>
    <x v="0"/>
    <x v="2"/>
    <s v="相模原市緑区"/>
    <x v="29"/>
    <x v="2"/>
    <x v="2"/>
    <x v="2"/>
    <x v="2"/>
    <n v="485"/>
    <n v="13.82"/>
    <n v="141"/>
    <n v="7.98"/>
    <n v="344"/>
    <n v="19.75"/>
    <x v="0"/>
    <n v="0"/>
  </r>
  <r>
    <s v="ti.14151"/>
    <x v="0"/>
    <x v="0"/>
    <x v="2"/>
    <s v="相模原市緑区"/>
    <x v="29"/>
    <x v="3"/>
    <x v="3"/>
    <x v="3"/>
    <x v="3"/>
    <n v="0"/>
    <n v="0"/>
    <n v="0"/>
    <n v="0"/>
    <n v="0"/>
    <n v="0"/>
    <x v="0"/>
    <n v="0"/>
  </r>
  <r>
    <s v="ti.14151"/>
    <x v="0"/>
    <x v="0"/>
    <x v="2"/>
    <s v="相模原市緑区"/>
    <x v="29"/>
    <x v="4"/>
    <x v="4"/>
    <x v="4"/>
    <x v="4"/>
    <n v="27"/>
    <n v="0.77"/>
    <n v="2"/>
    <n v="0.11"/>
    <n v="25"/>
    <n v="1.44"/>
    <x v="0"/>
    <n v="0"/>
  </r>
  <r>
    <s v="ti.14151"/>
    <x v="0"/>
    <x v="0"/>
    <x v="2"/>
    <s v="相模原市緑区"/>
    <x v="29"/>
    <x v="5"/>
    <x v="5"/>
    <x v="5"/>
    <x v="5"/>
    <n v="40"/>
    <n v="1.1399999999999999"/>
    <n v="10"/>
    <n v="0.56999999999999995"/>
    <n v="30"/>
    <n v="1.72"/>
    <x v="0"/>
    <n v="0"/>
  </r>
  <r>
    <s v="ti.14151"/>
    <x v="0"/>
    <x v="0"/>
    <x v="2"/>
    <s v="相模原市緑区"/>
    <x v="29"/>
    <x v="6"/>
    <x v="6"/>
    <x v="6"/>
    <x v="6"/>
    <n v="633"/>
    <n v="18.03"/>
    <n v="267"/>
    <n v="15.12"/>
    <n v="366"/>
    <n v="21.01"/>
    <x v="0"/>
    <n v="0"/>
  </r>
  <r>
    <s v="ti.14151"/>
    <x v="0"/>
    <x v="0"/>
    <x v="2"/>
    <s v="相模原市緑区"/>
    <x v="29"/>
    <x v="7"/>
    <x v="7"/>
    <x v="7"/>
    <x v="7"/>
    <n v="11"/>
    <n v="0.31"/>
    <n v="3"/>
    <n v="0.17"/>
    <n v="8"/>
    <n v="0.46"/>
    <x v="0"/>
    <n v="0"/>
  </r>
  <r>
    <s v="ti.14151"/>
    <x v="0"/>
    <x v="0"/>
    <x v="2"/>
    <s v="相模原市緑区"/>
    <x v="29"/>
    <x v="8"/>
    <x v="8"/>
    <x v="8"/>
    <x v="8"/>
    <n v="407"/>
    <n v="11.6"/>
    <n v="255"/>
    <n v="14.44"/>
    <n v="152"/>
    <n v="8.73"/>
    <x v="0"/>
    <n v="0"/>
  </r>
  <r>
    <s v="ti.14151"/>
    <x v="0"/>
    <x v="0"/>
    <x v="2"/>
    <s v="相模原市緑区"/>
    <x v="29"/>
    <x v="9"/>
    <x v="9"/>
    <x v="9"/>
    <x v="9"/>
    <n v="159"/>
    <n v="4.53"/>
    <n v="78"/>
    <n v="4.42"/>
    <n v="81"/>
    <n v="4.6500000000000004"/>
    <x v="0"/>
    <n v="0"/>
  </r>
  <r>
    <s v="ti.14151"/>
    <x v="0"/>
    <x v="0"/>
    <x v="2"/>
    <s v="相模原市緑区"/>
    <x v="29"/>
    <x v="10"/>
    <x v="10"/>
    <x v="10"/>
    <x v="10"/>
    <n v="318"/>
    <n v="9.06"/>
    <n v="246"/>
    <n v="13.93"/>
    <n v="71"/>
    <n v="4.08"/>
    <x v="14"/>
    <n v="50"/>
  </r>
  <r>
    <s v="ti.14151"/>
    <x v="0"/>
    <x v="0"/>
    <x v="2"/>
    <s v="相模原市緑区"/>
    <x v="29"/>
    <x v="11"/>
    <x v="11"/>
    <x v="11"/>
    <x v="11"/>
    <n v="371"/>
    <n v="10.57"/>
    <n v="282"/>
    <n v="15.97"/>
    <n v="89"/>
    <n v="5.1100000000000003"/>
    <x v="0"/>
    <n v="0"/>
  </r>
  <r>
    <s v="ti.14151"/>
    <x v="0"/>
    <x v="0"/>
    <x v="2"/>
    <s v="相模原市緑区"/>
    <x v="29"/>
    <x v="12"/>
    <x v="12"/>
    <x v="12"/>
    <x v="12"/>
    <n v="147"/>
    <n v="4.1900000000000004"/>
    <n v="114"/>
    <n v="6.46"/>
    <n v="32"/>
    <n v="1.84"/>
    <x v="14"/>
    <n v="50"/>
  </r>
  <r>
    <s v="ti.14151"/>
    <x v="0"/>
    <x v="0"/>
    <x v="2"/>
    <s v="相模原市緑区"/>
    <x v="29"/>
    <x v="13"/>
    <x v="13"/>
    <x v="13"/>
    <x v="13"/>
    <n v="164"/>
    <n v="4.67"/>
    <n v="110"/>
    <n v="6.23"/>
    <n v="54"/>
    <n v="3.1"/>
    <x v="0"/>
    <n v="0"/>
  </r>
  <r>
    <s v="ti.14151"/>
    <x v="0"/>
    <x v="0"/>
    <x v="2"/>
    <s v="相模原市緑区"/>
    <x v="29"/>
    <x v="14"/>
    <x v="14"/>
    <x v="14"/>
    <x v="14"/>
    <n v="129"/>
    <n v="3.68"/>
    <n v="53"/>
    <n v="3"/>
    <n v="76"/>
    <n v="4.3600000000000003"/>
    <x v="0"/>
    <n v="0"/>
  </r>
  <r>
    <s v="ti.14152"/>
    <x v="0"/>
    <x v="0"/>
    <x v="2"/>
    <s v="相模原市中央区"/>
    <x v="30"/>
    <x v="0"/>
    <x v="0"/>
    <x v="0"/>
    <x v="0"/>
    <n v="0"/>
    <n v="0"/>
    <n v="0"/>
    <n v="0"/>
    <n v="0"/>
    <n v="0"/>
    <x v="0"/>
    <n v="0"/>
  </r>
  <r>
    <s v="ti.14152"/>
    <x v="0"/>
    <x v="0"/>
    <x v="2"/>
    <s v="相模原市中央区"/>
    <x v="30"/>
    <x v="1"/>
    <x v="1"/>
    <x v="1"/>
    <x v="1"/>
    <n v="832"/>
    <n v="16.43"/>
    <n v="161"/>
    <n v="7.11"/>
    <n v="671"/>
    <n v="24.01"/>
    <x v="0"/>
    <n v="0"/>
  </r>
  <r>
    <s v="ti.14152"/>
    <x v="0"/>
    <x v="0"/>
    <x v="2"/>
    <s v="相模原市中央区"/>
    <x v="30"/>
    <x v="2"/>
    <x v="2"/>
    <x v="2"/>
    <x v="2"/>
    <n v="601"/>
    <n v="11.87"/>
    <n v="105"/>
    <n v="4.6399999999999997"/>
    <n v="496"/>
    <n v="17.75"/>
    <x v="0"/>
    <n v="0"/>
  </r>
  <r>
    <s v="ti.14152"/>
    <x v="0"/>
    <x v="0"/>
    <x v="2"/>
    <s v="相模原市中央区"/>
    <x v="30"/>
    <x v="3"/>
    <x v="3"/>
    <x v="3"/>
    <x v="3"/>
    <n v="0"/>
    <n v="0"/>
    <n v="0"/>
    <n v="0"/>
    <n v="0"/>
    <n v="0"/>
    <x v="0"/>
    <n v="0"/>
  </r>
  <r>
    <s v="ti.14152"/>
    <x v="0"/>
    <x v="0"/>
    <x v="2"/>
    <s v="相模原市中央区"/>
    <x v="30"/>
    <x v="4"/>
    <x v="4"/>
    <x v="4"/>
    <x v="4"/>
    <n v="43"/>
    <n v="0.85"/>
    <n v="4"/>
    <n v="0.18"/>
    <n v="38"/>
    <n v="1.36"/>
    <x v="14"/>
    <n v="14.29"/>
  </r>
  <r>
    <s v="ti.14152"/>
    <x v="0"/>
    <x v="0"/>
    <x v="2"/>
    <s v="相模原市中央区"/>
    <x v="30"/>
    <x v="5"/>
    <x v="5"/>
    <x v="5"/>
    <x v="5"/>
    <n v="66"/>
    <n v="1.3"/>
    <n v="20"/>
    <n v="0.88"/>
    <n v="46"/>
    <n v="1.65"/>
    <x v="0"/>
    <n v="0"/>
  </r>
  <r>
    <s v="ti.14152"/>
    <x v="0"/>
    <x v="0"/>
    <x v="2"/>
    <s v="相模原市中央区"/>
    <x v="30"/>
    <x v="6"/>
    <x v="6"/>
    <x v="6"/>
    <x v="6"/>
    <n v="869"/>
    <n v="17.16"/>
    <n v="332"/>
    <n v="14.67"/>
    <n v="535"/>
    <n v="19.14"/>
    <x v="13"/>
    <n v="28.57"/>
  </r>
  <r>
    <s v="ti.14152"/>
    <x v="0"/>
    <x v="0"/>
    <x v="2"/>
    <s v="相模原市中央区"/>
    <x v="30"/>
    <x v="7"/>
    <x v="7"/>
    <x v="7"/>
    <x v="7"/>
    <n v="29"/>
    <n v="0.56999999999999995"/>
    <n v="6"/>
    <n v="0.27"/>
    <n v="23"/>
    <n v="0.82"/>
    <x v="0"/>
    <n v="0"/>
  </r>
  <r>
    <s v="ti.14152"/>
    <x v="0"/>
    <x v="0"/>
    <x v="2"/>
    <s v="相模原市中央区"/>
    <x v="30"/>
    <x v="8"/>
    <x v="8"/>
    <x v="8"/>
    <x v="8"/>
    <n v="449"/>
    <n v="8.86"/>
    <n v="156"/>
    <n v="6.89"/>
    <n v="291"/>
    <n v="10.41"/>
    <x v="13"/>
    <n v="28.57"/>
  </r>
  <r>
    <s v="ti.14152"/>
    <x v="0"/>
    <x v="0"/>
    <x v="2"/>
    <s v="相模原市中央区"/>
    <x v="30"/>
    <x v="9"/>
    <x v="9"/>
    <x v="9"/>
    <x v="9"/>
    <n v="269"/>
    <n v="5.31"/>
    <n v="129"/>
    <n v="5.7"/>
    <n v="139"/>
    <n v="4.97"/>
    <x v="14"/>
    <n v="14.29"/>
  </r>
  <r>
    <s v="ti.14152"/>
    <x v="0"/>
    <x v="0"/>
    <x v="2"/>
    <s v="相模原市中央区"/>
    <x v="30"/>
    <x v="10"/>
    <x v="10"/>
    <x v="10"/>
    <x v="10"/>
    <n v="605"/>
    <n v="11.94"/>
    <n v="502"/>
    <n v="22.18"/>
    <n v="103"/>
    <n v="3.69"/>
    <x v="0"/>
    <n v="0"/>
  </r>
  <r>
    <s v="ti.14152"/>
    <x v="0"/>
    <x v="0"/>
    <x v="2"/>
    <s v="相模原市中央区"/>
    <x v="30"/>
    <x v="11"/>
    <x v="11"/>
    <x v="11"/>
    <x v="11"/>
    <n v="641"/>
    <n v="12.66"/>
    <n v="476"/>
    <n v="21.03"/>
    <n v="165"/>
    <n v="5.9"/>
    <x v="0"/>
    <n v="0"/>
  </r>
  <r>
    <s v="ti.14152"/>
    <x v="0"/>
    <x v="0"/>
    <x v="2"/>
    <s v="相模原市中央区"/>
    <x v="30"/>
    <x v="12"/>
    <x v="12"/>
    <x v="12"/>
    <x v="12"/>
    <n v="216"/>
    <n v="4.26"/>
    <n v="162"/>
    <n v="7.16"/>
    <n v="53"/>
    <n v="1.9"/>
    <x v="14"/>
    <n v="14.29"/>
  </r>
  <r>
    <s v="ti.14152"/>
    <x v="0"/>
    <x v="0"/>
    <x v="2"/>
    <s v="相模原市中央区"/>
    <x v="30"/>
    <x v="13"/>
    <x v="13"/>
    <x v="13"/>
    <x v="13"/>
    <n v="258"/>
    <n v="5.09"/>
    <n v="160"/>
    <n v="7.07"/>
    <n v="98"/>
    <n v="3.51"/>
    <x v="0"/>
    <n v="0"/>
  </r>
  <r>
    <s v="ti.14152"/>
    <x v="0"/>
    <x v="0"/>
    <x v="2"/>
    <s v="相模原市中央区"/>
    <x v="30"/>
    <x v="14"/>
    <x v="14"/>
    <x v="14"/>
    <x v="14"/>
    <n v="187"/>
    <n v="3.69"/>
    <n v="50"/>
    <n v="2.21"/>
    <n v="137"/>
    <n v="4.9000000000000004"/>
    <x v="0"/>
    <n v="0"/>
  </r>
  <r>
    <s v="ti.14153"/>
    <x v="0"/>
    <x v="0"/>
    <x v="2"/>
    <s v="相模原市南区"/>
    <x v="31"/>
    <x v="0"/>
    <x v="0"/>
    <x v="0"/>
    <x v="0"/>
    <n v="0"/>
    <n v="0"/>
    <n v="0"/>
    <n v="0"/>
    <n v="0"/>
    <n v="0"/>
    <x v="0"/>
    <n v="0"/>
  </r>
  <r>
    <s v="ti.14153"/>
    <x v="0"/>
    <x v="0"/>
    <x v="2"/>
    <s v="相模原市南区"/>
    <x v="31"/>
    <x v="1"/>
    <x v="1"/>
    <x v="1"/>
    <x v="1"/>
    <n v="716"/>
    <n v="15.31"/>
    <n v="149"/>
    <n v="6.42"/>
    <n v="567"/>
    <n v="24.09"/>
    <x v="0"/>
    <n v="0"/>
  </r>
  <r>
    <s v="ti.14153"/>
    <x v="0"/>
    <x v="0"/>
    <x v="2"/>
    <s v="相模原市南区"/>
    <x v="31"/>
    <x v="2"/>
    <x v="2"/>
    <x v="2"/>
    <x v="2"/>
    <n v="236"/>
    <n v="5.04"/>
    <n v="47"/>
    <n v="2.0299999999999998"/>
    <n v="189"/>
    <n v="8.0299999999999994"/>
    <x v="0"/>
    <n v="0"/>
  </r>
  <r>
    <s v="ti.14153"/>
    <x v="0"/>
    <x v="0"/>
    <x v="2"/>
    <s v="相模原市南区"/>
    <x v="31"/>
    <x v="3"/>
    <x v="3"/>
    <x v="3"/>
    <x v="3"/>
    <n v="0"/>
    <n v="0"/>
    <n v="0"/>
    <n v="0"/>
    <n v="0"/>
    <n v="0"/>
    <x v="0"/>
    <n v="0"/>
  </r>
  <r>
    <s v="ti.14153"/>
    <x v="0"/>
    <x v="0"/>
    <x v="2"/>
    <s v="相模原市南区"/>
    <x v="31"/>
    <x v="4"/>
    <x v="4"/>
    <x v="4"/>
    <x v="4"/>
    <n v="65"/>
    <n v="1.39"/>
    <n v="3"/>
    <n v="0.13"/>
    <n v="61"/>
    <n v="2.59"/>
    <x v="14"/>
    <n v="25"/>
  </r>
  <r>
    <s v="ti.14153"/>
    <x v="0"/>
    <x v="0"/>
    <x v="2"/>
    <s v="相模原市南区"/>
    <x v="31"/>
    <x v="5"/>
    <x v="5"/>
    <x v="5"/>
    <x v="5"/>
    <n v="33"/>
    <n v="0.71"/>
    <n v="17"/>
    <n v="0.73"/>
    <n v="16"/>
    <n v="0.68"/>
    <x v="0"/>
    <n v="0"/>
  </r>
  <r>
    <s v="ti.14153"/>
    <x v="0"/>
    <x v="0"/>
    <x v="2"/>
    <s v="相模原市南区"/>
    <x v="31"/>
    <x v="6"/>
    <x v="6"/>
    <x v="6"/>
    <x v="6"/>
    <n v="902"/>
    <n v="19.28"/>
    <n v="329"/>
    <n v="14.18"/>
    <n v="573"/>
    <n v="24.34"/>
    <x v="0"/>
    <n v="0"/>
  </r>
  <r>
    <s v="ti.14153"/>
    <x v="0"/>
    <x v="0"/>
    <x v="2"/>
    <s v="相模原市南区"/>
    <x v="31"/>
    <x v="7"/>
    <x v="7"/>
    <x v="7"/>
    <x v="7"/>
    <n v="24"/>
    <n v="0.51"/>
    <n v="2"/>
    <n v="0.09"/>
    <n v="22"/>
    <n v="0.93"/>
    <x v="0"/>
    <n v="0"/>
  </r>
  <r>
    <s v="ti.14153"/>
    <x v="0"/>
    <x v="0"/>
    <x v="2"/>
    <s v="相模原市南区"/>
    <x v="31"/>
    <x v="8"/>
    <x v="8"/>
    <x v="8"/>
    <x v="8"/>
    <n v="727"/>
    <n v="15.54"/>
    <n v="407"/>
    <n v="17.54"/>
    <n v="320"/>
    <n v="13.59"/>
    <x v="0"/>
    <n v="0"/>
  </r>
  <r>
    <s v="ti.14153"/>
    <x v="0"/>
    <x v="0"/>
    <x v="2"/>
    <s v="相模原市南区"/>
    <x v="31"/>
    <x v="9"/>
    <x v="9"/>
    <x v="9"/>
    <x v="9"/>
    <n v="269"/>
    <n v="5.75"/>
    <n v="131"/>
    <n v="5.65"/>
    <n v="138"/>
    <n v="5.86"/>
    <x v="0"/>
    <n v="0"/>
  </r>
  <r>
    <s v="ti.14153"/>
    <x v="0"/>
    <x v="0"/>
    <x v="2"/>
    <s v="相模原市南区"/>
    <x v="31"/>
    <x v="10"/>
    <x v="10"/>
    <x v="10"/>
    <x v="10"/>
    <n v="468"/>
    <n v="10"/>
    <n v="378"/>
    <n v="16.29"/>
    <n v="90"/>
    <n v="3.82"/>
    <x v="0"/>
    <n v="0"/>
  </r>
  <r>
    <s v="ti.14153"/>
    <x v="0"/>
    <x v="0"/>
    <x v="2"/>
    <s v="相模原市南区"/>
    <x v="31"/>
    <x v="11"/>
    <x v="11"/>
    <x v="11"/>
    <x v="11"/>
    <n v="605"/>
    <n v="12.93"/>
    <n v="465"/>
    <n v="20.04"/>
    <n v="139"/>
    <n v="5.9"/>
    <x v="14"/>
    <n v="25"/>
  </r>
  <r>
    <s v="ti.14153"/>
    <x v="0"/>
    <x v="0"/>
    <x v="2"/>
    <s v="相模原市南区"/>
    <x v="31"/>
    <x v="12"/>
    <x v="12"/>
    <x v="12"/>
    <x v="12"/>
    <n v="239"/>
    <n v="5.1100000000000003"/>
    <n v="182"/>
    <n v="7.84"/>
    <n v="56"/>
    <n v="2.38"/>
    <x v="14"/>
    <n v="25"/>
  </r>
  <r>
    <s v="ti.14153"/>
    <x v="0"/>
    <x v="0"/>
    <x v="2"/>
    <s v="相模原市南区"/>
    <x v="31"/>
    <x v="13"/>
    <x v="13"/>
    <x v="13"/>
    <x v="13"/>
    <n v="274"/>
    <n v="5.86"/>
    <n v="180"/>
    <n v="7.76"/>
    <n v="93"/>
    <n v="3.95"/>
    <x v="14"/>
    <n v="25"/>
  </r>
  <r>
    <s v="ti.14153"/>
    <x v="0"/>
    <x v="0"/>
    <x v="2"/>
    <s v="相模原市南区"/>
    <x v="31"/>
    <x v="14"/>
    <x v="14"/>
    <x v="14"/>
    <x v="14"/>
    <n v="120"/>
    <n v="2.57"/>
    <n v="30"/>
    <n v="1.29"/>
    <n v="90"/>
    <n v="3.82"/>
    <x v="0"/>
    <n v="0"/>
  </r>
  <r>
    <s v="ti.14201"/>
    <x v="0"/>
    <x v="0"/>
    <x v="3"/>
    <s v="横須賀市"/>
    <x v="32"/>
    <x v="0"/>
    <x v="0"/>
    <x v="0"/>
    <x v="0"/>
    <n v="0"/>
    <n v="0"/>
    <n v="0"/>
    <n v="0"/>
    <n v="0"/>
    <n v="0"/>
    <x v="0"/>
    <n v="0"/>
  </r>
  <r>
    <s v="ti.14201"/>
    <x v="0"/>
    <x v="0"/>
    <x v="3"/>
    <s v="横須賀市"/>
    <x v="32"/>
    <x v="1"/>
    <x v="1"/>
    <x v="1"/>
    <x v="1"/>
    <n v="1181"/>
    <n v="15.17"/>
    <n v="293"/>
    <n v="6.87"/>
    <n v="887"/>
    <n v="25.24"/>
    <x v="14"/>
    <n v="12.5"/>
  </r>
  <r>
    <s v="ti.14201"/>
    <x v="0"/>
    <x v="0"/>
    <x v="3"/>
    <s v="横須賀市"/>
    <x v="32"/>
    <x v="2"/>
    <x v="2"/>
    <x v="2"/>
    <x v="2"/>
    <n v="328"/>
    <n v="4.21"/>
    <n v="79"/>
    <n v="1.85"/>
    <n v="248"/>
    <n v="7.06"/>
    <x v="14"/>
    <n v="12.5"/>
  </r>
  <r>
    <s v="ti.14201"/>
    <x v="0"/>
    <x v="0"/>
    <x v="3"/>
    <s v="横須賀市"/>
    <x v="32"/>
    <x v="3"/>
    <x v="3"/>
    <x v="3"/>
    <x v="3"/>
    <n v="1"/>
    <n v="0.01"/>
    <n v="0"/>
    <n v="0"/>
    <n v="1"/>
    <n v="0.03"/>
    <x v="0"/>
    <n v="0"/>
  </r>
  <r>
    <s v="ti.14201"/>
    <x v="0"/>
    <x v="0"/>
    <x v="3"/>
    <s v="横須賀市"/>
    <x v="32"/>
    <x v="4"/>
    <x v="4"/>
    <x v="4"/>
    <x v="4"/>
    <n v="60"/>
    <n v="0.77"/>
    <n v="1"/>
    <n v="0.02"/>
    <n v="59"/>
    <n v="1.68"/>
    <x v="0"/>
    <n v="0"/>
  </r>
  <r>
    <s v="ti.14201"/>
    <x v="0"/>
    <x v="0"/>
    <x v="3"/>
    <s v="横須賀市"/>
    <x v="32"/>
    <x v="5"/>
    <x v="5"/>
    <x v="5"/>
    <x v="5"/>
    <n v="67"/>
    <n v="0.86"/>
    <n v="32"/>
    <n v="0.75"/>
    <n v="35"/>
    <n v="1"/>
    <x v="0"/>
    <n v="0"/>
  </r>
  <r>
    <s v="ti.14201"/>
    <x v="0"/>
    <x v="0"/>
    <x v="3"/>
    <s v="横須賀市"/>
    <x v="32"/>
    <x v="6"/>
    <x v="6"/>
    <x v="6"/>
    <x v="6"/>
    <n v="1726"/>
    <n v="22.17"/>
    <n v="773"/>
    <n v="18.13"/>
    <n v="952"/>
    <n v="27.09"/>
    <x v="14"/>
    <n v="12.5"/>
  </r>
  <r>
    <s v="ti.14201"/>
    <x v="0"/>
    <x v="0"/>
    <x v="3"/>
    <s v="横須賀市"/>
    <x v="32"/>
    <x v="7"/>
    <x v="7"/>
    <x v="7"/>
    <x v="7"/>
    <n v="67"/>
    <n v="0.86"/>
    <n v="16"/>
    <n v="0.38"/>
    <n v="51"/>
    <n v="1.45"/>
    <x v="0"/>
    <n v="0"/>
  </r>
  <r>
    <s v="ti.14201"/>
    <x v="0"/>
    <x v="0"/>
    <x v="3"/>
    <s v="横須賀市"/>
    <x v="32"/>
    <x v="8"/>
    <x v="8"/>
    <x v="8"/>
    <x v="8"/>
    <n v="829"/>
    <n v="10.65"/>
    <n v="460"/>
    <n v="10.79"/>
    <n v="369"/>
    <n v="10.5"/>
    <x v="0"/>
    <n v="0"/>
  </r>
  <r>
    <s v="ti.14201"/>
    <x v="0"/>
    <x v="0"/>
    <x v="3"/>
    <s v="横須賀市"/>
    <x v="32"/>
    <x v="9"/>
    <x v="9"/>
    <x v="9"/>
    <x v="9"/>
    <n v="313"/>
    <n v="4.0199999999999996"/>
    <n v="157"/>
    <n v="3.68"/>
    <n v="155"/>
    <n v="4.41"/>
    <x v="14"/>
    <n v="12.5"/>
  </r>
  <r>
    <s v="ti.14201"/>
    <x v="0"/>
    <x v="0"/>
    <x v="3"/>
    <s v="横須賀市"/>
    <x v="32"/>
    <x v="10"/>
    <x v="10"/>
    <x v="10"/>
    <x v="10"/>
    <n v="1199"/>
    <n v="15.4"/>
    <n v="1035"/>
    <n v="24.28"/>
    <n v="164"/>
    <n v="4.67"/>
    <x v="0"/>
    <n v="0"/>
  </r>
  <r>
    <s v="ti.14201"/>
    <x v="0"/>
    <x v="0"/>
    <x v="3"/>
    <s v="横須賀市"/>
    <x v="32"/>
    <x v="11"/>
    <x v="11"/>
    <x v="11"/>
    <x v="11"/>
    <n v="1095"/>
    <n v="14.07"/>
    <n v="809"/>
    <n v="18.98"/>
    <n v="286"/>
    <n v="8.14"/>
    <x v="0"/>
    <n v="0"/>
  </r>
  <r>
    <s v="ti.14201"/>
    <x v="0"/>
    <x v="0"/>
    <x v="3"/>
    <s v="横須賀市"/>
    <x v="32"/>
    <x v="12"/>
    <x v="12"/>
    <x v="12"/>
    <x v="12"/>
    <n v="299"/>
    <n v="3.84"/>
    <n v="232"/>
    <n v="5.44"/>
    <n v="65"/>
    <n v="1.85"/>
    <x v="13"/>
    <n v="25"/>
  </r>
  <r>
    <s v="ti.14201"/>
    <x v="0"/>
    <x v="0"/>
    <x v="3"/>
    <s v="横須賀市"/>
    <x v="32"/>
    <x v="13"/>
    <x v="13"/>
    <x v="13"/>
    <x v="13"/>
    <n v="459"/>
    <n v="5.9"/>
    <n v="325"/>
    <n v="7.62"/>
    <n v="132"/>
    <n v="3.76"/>
    <x v="13"/>
    <n v="25"/>
  </r>
  <r>
    <s v="ti.14201"/>
    <x v="0"/>
    <x v="0"/>
    <x v="3"/>
    <s v="横須賀市"/>
    <x v="32"/>
    <x v="14"/>
    <x v="14"/>
    <x v="14"/>
    <x v="14"/>
    <n v="161"/>
    <n v="2.0699999999999998"/>
    <n v="51"/>
    <n v="1.2"/>
    <n v="110"/>
    <n v="3.13"/>
    <x v="0"/>
    <n v="0"/>
  </r>
  <r>
    <s v="ti.14203"/>
    <x v="0"/>
    <x v="0"/>
    <x v="3"/>
    <s v="平塚市"/>
    <x v="33"/>
    <x v="0"/>
    <x v="0"/>
    <x v="0"/>
    <x v="0"/>
    <n v="0"/>
    <n v="0"/>
    <n v="0"/>
    <n v="0"/>
    <n v="0"/>
    <n v="0"/>
    <x v="0"/>
    <n v="0"/>
  </r>
  <r>
    <s v="ti.14203"/>
    <x v="0"/>
    <x v="0"/>
    <x v="3"/>
    <s v="平塚市"/>
    <x v="33"/>
    <x v="1"/>
    <x v="1"/>
    <x v="1"/>
    <x v="1"/>
    <n v="796"/>
    <n v="14.38"/>
    <n v="141"/>
    <n v="5.1100000000000003"/>
    <n v="655"/>
    <n v="23.68"/>
    <x v="0"/>
    <n v="0"/>
  </r>
  <r>
    <s v="ti.14203"/>
    <x v="0"/>
    <x v="0"/>
    <x v="3"/>
    <s v="平塚市"/>
    <x v="33"/>
    <x v="2"/>
    <x v="2"/>
    <x v="2"/>
    <x v="2"/>
    <n v="395"/>
    <n v="7.14"/>
    <n v="80"/>
    <n v="2.9"/>
    <n v="314"/>
    <n v="11.35"/>
    <x v="14"/>
    <n v="11.11"/>
  </r>
  <r>
    <s v="ti.14203"/>
    <x v="0"/>
    <x v="0"/>
    <x v="3"/>
    <s v="平塚市"/>
    <x v="33"/>
    <x v="3"/>
    <x v="3"/>
    <x v="3"/>
    <x v="3"/>
    <n v="0"/>
    <n v="0"/>
    <n v="0"/>
    <n v="0"/>
    <n v="0"/>
    <n v="0"/>
    <x v="0"/>
    <n v="0"/>
  </r>
  <r>
    <s v="ti.14203"/>
    <x v="0"/>
    <x v="0"/>
    <x v="3"/>
    <s v="平塚市"/>
    <x v="33"/>
    <x v="4"/>
    <x v="4"/>
    <x v="4"/>
    <x v="4"/>
    <n v="37"/>
    <n v="0.67"/>
    <n v="5"/>
    <n v="0.18"/>
    <n v="32"/>
    <n v="1.1599999999999999"/>
    <x v="0"/>
    <n v="0"/>
  </r>
  <r>
    <s v="ti.14203"/>
    <x v="0"/>
    <x v="0"/>
    <x v="3"/>
    <s v="平塚市"/>
    <x v="33"/>
    <x v="5"/>
    <x v="5"/>
    <x v="5"/>
    <x v="5"/>
    <n v="40"/>
    <n v="0.72"/>
    <n v="8"/>
    <n v="0.28999999999999998"/>
    <n v="32"/>
    <n v="1.1599999999999999"/>
    <x v="0"/>
    <n v="0"/>
  </r>
  <r>
    <s v="ti.14203"/>
    <x v="0"/>
    <x v="0"/>
    <x v="3"/>
    <s v="平塚市"/>
    <x v="33"/>
    <x v="6"/>
    <x v="6"/>
    <x v="6"/>
    <x v="6"/>
    <n v="1224"/>
    <n v="22.12"/>
    <n v="497"/>
    <n v="18.010000000000002"/>
    <n v="726"/>
    <n v="26.25"/>
    <x v="14"/>
    <n v="11.11"/>
  </r>
  <r>
    <s v="ti.14203"/>
    <x v="0"/>
    <x v="0"/>
    <x v="3"/>
    <s v="平塚市"/>
    <x v="33"/>
    <x v="7"/>
    <x v="7"/>
    <x v="7"/>
    <x v="7"/>
    <n v="54"/>
    <n v="0.98"/>
    <n v="13"/>
    <n v="0.47"/>
    <n v="41"/>
    <n v="1.48"/>
    <x v="0"/>
    <n v="0"/>
  </r>
  <r>
    <s v="ti.14203"/>
    <x v="0"/>
    <x v="0"/>
    <x v="3"/>
    <s v="平塚市"/>
    <x v="33"/>
    <x v="8"/>
    <x v="8"/>
    <x v="8"/>
    <x v="8"/>
    <n v="804"/>
    <n v="14.53"/>
    <n v="462"/>
    <n v="16.75"/>
    <n v="341"/>
    <n v="12.33"/>
    <x v="14"/>
    <n v="11.11"/>
  </r>
  <r>
    <s v="ti.14203"/>
    <x v="0"/>
    <x v="0"/>
    <x v="3"/>
    <s v="平塚市"/>
    <x v="33"/>
    <x v="9"/>
    <x v="9"/>
    <x v="9"/>
    <x v="9"/>
    <n v="225"/>
    <n v="4.07"/>
    <n v="108"/>
    <n v="3.91"/>
    <n v="117"/>
    <n v="4.2300000000000004"/>
    <x v="0"/>
    <n v="0"/>
  </r>
  <r>
    <s v="ti.14203"/>
    <x v="0"/>
    <x v="0"/>
    <x v="3"/>
    <s v="平塚市"/>
    <x v="33"/>
    <x v="10"/>
    <x v="10"/>
    <x v="10"/>
    <x v="10"/>
    <n v="721"/>
    <n v="13.03"/>
    <n v="587"/>
    <n v="21.28"/>
    <n v="133"/>
    <n v="4.8099999999999996"/>
    <x v="14"/>
    <n v="11.11"/>
  </r>
  <r>
    <s v="ti.14203"/>
    <x v="0"/>
    <x v="0"/>
    <x v="3"/>
    <s v="平塚市"/>
    <x v="33"/>
    <x v="11"/>
    <x v="11"/>
    <x v="11"/>
    <x v="11"/>
    <n v="628"/>
    <n v="11.35"/>
    <n v="490"/>
    <n v="17.760000000000002"/>
    <n v="138"/>
    <n v="4.99"/>
    <x v="0"/>
    <n v="0"/>
  </r>
  <r>
    <s v="ti.14203"/>
    <x v="0"/>
    <x v="0"/>
    <x v="3"/>
    <s v="平塚市"/>
    <x v="33"/>
    <x v="12"/>
    <x v="12"/>
    <x v="12"/>
    <x v="12"/>
    <n v="198"/>
    <n v="3.58"/>
    <n v="151"/>
    <n v="5.47"/>
    <n v="45"/>
    <n v="1.63"/>
    <x v="13"/>
    <n v="22.22"/>
  </r>
  <r>
    <s v="ti.14203"/>
    <x v="0"/>
    <x v="0"/>
    <x v="3"/>
    <s v="平塚市"/>
    <x v="33"/>
    <x v="13"/>
    <x v="13"/>
    <x v="13"/>
    <x v="13"/>
    <n v="245"/>
    <n v="4.43"/>
    <n v="167"/>
    <n v="6.05"/>
    <n v="77"/>
    <n v="2.78"/>
    <x v="14"/>
    <n v="11.11"/>
  </r>
  <r>
    <s v="ti.14203"/>
    <x v="0"/>
    <x v="0"/>
    <x v="3"/>
    <s v="平塚市"/>
    <x v="33"/>
    <x v="14"/>
    <x v="14"/>
    <x v="14"/>
    <x v="14"/>
    <n v="167"/>
    <n v="3.02"/>
    <n v="50"/>
    <n v="1.81"/>
    <n v="115"/>
    <n v="4.16"/>
    <x v="13"/>
    <n v="22.22"/>
  </r>
  <r>
    <s v="ti.14204"/>
    <x v="0"/>
    <x v="0"/>
    <x v="3"/>
    <s v="鎌倉市"/>
    <x v="34"/>
    <x v="0"/>
    <x v="0"/>
    <x v="0"/>
    <x v="0"/>
    <n v="0"/>
    <n v="0"/>
    <n v="0"/>
    <n v="0"/>
    <n v="0"/>
    <n v="0"/>
    <x v="0"/>
    <n v="0"/>
  </r>
  <r>
    <s v="ti.14204"/>
    <x v="0"/>
    <x v="0"/>
    <x v="3"/>
    <s v="鎌倉市"/>
    <x v="34"/>
    <x v="1"/>
    <x v="1"/>
    <x v="1"/>
    <x v="1"/>
    <n v="376"/>
    <n v="8.69"/>
    <n v="98"/>
    <n v="4.34"/>
    <n v="277"/>
    <n v="13.43"/>
    <x v="14"/>
    <n v="25"/>
  </r>
  <r>
    <s v="ti.14204"/>
    <x v="0"/>
    <x v="0"/>
    <x v="3"/>
    <s v="鎌倉市"/>
    <x v="34"/>
    <x v="2"/>
    <x v="2"/>
    <x v="2"/>
    <x v="2"/>
    <n v="130"/>
    <n v="3.01"/>
    <n v="36"/>
    <n v="1.59"/>
    <n v="94"/>
    <n v="4.5599999999999996"/>
    <x v="0"/>
    <n v="0"/>
  </r>
  <r>
    <s v="ti.14204"/>
    <x v="0"/>
    <x v="0"/>
    <x v="3"/>
    <s v="鎌倉市"/>
    <x v="34"/>
    <x v="3"/>
    <x v="3"/>
    <x v="3"/>
    <x v="3"/>
    <n v="0"/>
    <n v="0"/>
    <n v="0"/>
    <n v="0"/>
    <n v="0"/>
    <n v="0"/>
    <x v="0"/>
    <n v="0"/>
  </r>
  <r>
    <s v="ti.14204"/>
    <x v="0"/>
    <x v="0"/>
    <x v="3"/>
    <s v="鎌倉市"/>
    <x v="34"/>
    <x v="4"/>
    <x v="4"/>
    <x v="4"/>
    <x v="4"/>
    <n v="80"/>
    <n v="1.85"/>
    <n v="2"/>
    <n v="0.09"/>
    <n v="77"/>
    <n v="3.73"/>
    <x v="14"/>
    <n v="25"/>
  </r>
  <r>
    <s v="ti.14204"/>
    <x v="0"/>
    <x v="0"/>
    <x v="3"/>
    <s v="鎌倉市"/>
    <x v="34"/>
    <x v="5"/>
    <x v="5"/>
    <x v="5"/>
    <x v="5"/>
    <n v="25"/>
    <n v="0.57999999999999996"/>
    <n v="1"/>
    <n v="0.04"/>
    <n v="24"/>
    <n v="1.1599999999999999"/>
    <x v="0"/>
    <n v="0"/>
  </r>
  <r>
    <s v="ti.14204"/>
    <x v="0"/>
    <x v="0"/>
    <x v="3"/>
    <s v="鎌倉市"/>
    <x v="34"/>
    <x v="6"/>
    <x v="6"/>
    <x v="6"/>
    <x v="6"/>
    <n v="1233"/>
    <n v="28.51"/>
    <n v="569"/>
    <n v="25.19"/>
    <n v="664"/>
    <n v="32.200000000000003"/>
    <x v="0"/>
    <n v="0"/>
  </r>
  <r>
    <s v="ti.14204"/>
    <x v="0"/>
    <x v="0"/>
    <x v="3"/>
    <s v="鎌倉市"/>
    <x v="34"/>
    <x v="7"/>
    <x v="7"/>
    <x v="7"/>
    <x v="7"/>
    <n v="21"/>
    <n v="0.49"/>
    <n v="3"/>
    <n v="0.13"/>
    <n v="18"/>
    <n v="0.87"/>
    <x v="0"/>
    <n v="0"/>
  </r>
  <r>
    <s v="ti.14204"/>
    <x v="0"/>
    <x v="0"/>
    <x v="3"/>
    <s v="鎌倉市"/>
    <x v="34"/>
    <x v="8"/>
    <x v="8"/>
    <x v="8"/>
    <x v="8"/>
    <n v="618"/>
    <n v="14.29"/>
    <n v="316"/>
    <n v="13.99"/>
    <n v="302"/>
    <n v="14.65"/>
    <x v="0"/>
    <n v="0"/>
  </r>
  <r>
    <s v="ti.14204"/>
    <x v="0"/>
    <x v="0"/>
    <x v="3"/>
    <s v="鎌倉市"/>
    <x v="34"/>
    <x v="9"/>
    <x v="9"/>
    <x v="9"/>
    <x v="9"/>
    <n v="277"/>
    <n v="6.4"/>
    <n v="107"/>
    <n v="4.74"/>
    <n v="168"/>
    <n v="8.15"/>
    <x v="13"/>
    <n v="50"/>
  </r>
  <r>
    <s v="ti.14204"/>
    <x v="0"/>
    <x v="0"/>
    <x v="3"/>
    <s v="鎌倉市"/>
    <x v="34"/>
    <x v="10"/>
    <x v="10"/>
    <x v="10"/>
    <x v="10"/>
    <n v="678"/>
    <n v="15.68"/>
    <n v="526"/>
    <n v="23.28"/>
    <n v="152"/>
    <n v="7.37"/>
    <x v="0"/>
    <n v="0"/>
  </r>
  <r>
    <s v="ti.14204"/>
    <x v="0"/>
    <x v="0"/>
    <x v="3"/>
    <s v="鎌倉市"/>
    <x v="34"/>
    <x v="11"/>
    <x v="11"/>
    <x v="11"/>
    <x v="11"/>
    <n v="396"/>
    <n v="9.16"/>
    <n v="272"/>
    <n v="12.04"/>
    <n v="124"/>
    <n v="6.01"/>
    <x v="0"/>
    <n v="0"/>
  </r>
  <r>
    <s v="ti.14204"/>
    <x v="0"/>
    <x v="0"/>
    <x v="3"/>
    <s v="鎌倉市"/>
    <x v="34"/>
    <x v="12"/>
    <x v="12"/>
    <x v="12"/>
    <x v="12"/>
    <n v="198"/>
    <n v="4.58"/>
    <n v="144"/>
    <n v="6.37"/>
    <n v="54"/>
    <n v="2.62"/>
    <x v="0"/>
    <n v="0"/>
  </r>
  <r>
    <s v="ti.14204"/>
    <x v="0"/>
    <x v="0"/>
    <x v="3"/>
    <s v="鎌倉市"/>
    <x v="34"/>
    <x v="13"/>
    <x v="13"/>
    <x v="13"/>
    <x v="13"/>
    <n v="185"/>
    <n v="4.28"/>
    <n v="144"/>
    <n v="6.37"/>
    <n v="41"/>
    <n v="1.99"/>
    <x v="0"/>
    <n v="0"/>
  </r>
  <r>
    <s v="ti.14204"/>
    <x v="0"/>
    <x v="0"/>
    <x v="3"/>
    <s v="鎌倉市"/>
    <x v="34"/>
    <x v="14"/>
    <x v="14"/>
    <x v="14"/>
    <x v="14"/>
    <n v="108"/>
    <n v="2.5"/>
    <n v="41"/>
    <n v="1.81"/>
    <n v="67"/>
    <n v="3.25"/>
    <x v="0"/>
    <n v="0"/>
  </r>
  <r>
    <s v="ti.14205"/>
    <x v="0"/>
    <x v="0"/>
    <x v="3"/>
    <s v="藤沢市"/>
    <x v="35"/>
    <x v="0"/>
    <x v="0"/>
    <x v="0"/>
    <x v="0"/>
    <n v="0"/>
    <n v="0"/>
    <n v="0"/>
    <n v="0"/>
    <n v="0"/>
    <n v="0"/>
    <x v="0"/>
    <n v="0"/>
  </r>
  <r>
    <s v="ti.14205"/>
    <x v="0"/>
    <x v="0"/>
    <x v="3"/>
    <s v="藤沢市"/>
    <x v="35"/>
    <x v="1"/>
    <x v="1"/>
    <x v="1"/>
    <x v="1"/>
    <n v="934"/>
    <n v="13.13"/>
    <n v="165"/>
    <n v="4.88"/>
    <n v="769"/>
    <n v="20.61"/>
    <x v="0"/>
    <n v="0"/>
  </r>
  <r>
    <s v="ti.14205"/>
    <x v="0"/>
    <x v="0"/>
    <x v="3"/>
    <s v="藤沢市"/>
    <x v="35"/>
    <x v="2"/>
    <x v="2"/>
    <x v="2"/>
    <x v="2"/>
    <n v="445"/>
    <n v="6.25"/>
    <n v="99"/>
    <n v="2.93"/>
    <n v="346"/>
    <n v="9.27"/>
    <x v="0"/>
    <n v="0"/>
  </r>
  <r>
    <s v="ti.14205"/>
    <x v="0"/>
    <x v="0"/>
    <x v="3"/>
    <s v="藤沢市"/>
    <x v="35"/>
    <x v="3"/>
    <x v="3"/>
    <x v="3"/>
    <x v="3"/>
    <n v="0"/>
    <n v="0"/>
    <n v="0"/>
    <n v="0"/>
    <n v="0"/>
    <n v="0"/>
    <x v="0"/>
    <n v="0"/>
  </r>
  <r>
    <s v="ti.14205"/>
    <x v="0"/>
    <x v="0"/>
    <x v="3"/>
    <s v="藤沢市"/>
    <x v="35"/>
    <x v="4"/>
    <x v="4"/>
    <x v="4"/>
    <x v="4"/>
    <n v="67"/>
    <n v="0.94"/>
    <n v="6"/>
    <n v="0.18"/>
    <n v="61"/>
    <n v="1.63"/>
    <x v="0"/>
    <n v="0"/>
  </r>
  <r>
    <s v="ti.14205"/>
    <x v="0"/>
    <x v="0"/>
    <x v="3"/>
    <s v="藤沢市"/>
    <x v="35"/>
    <x v="5"/>
    <x v="5"/>
    <x v="5"/>
    <x v="5"/>
    <n v="44"/>
    <n v="0.62"/>
    <n v="8"/>
    <n v="0.24"/>
    <n v="36"/>
    <n v="0.96"/>
    <x v="0"/>
    <n v="0"/>
  </r>
  <r>
    <s v="ti.14205"/>
    <x v="0"/>
    <x v="0"/>
    <x v="3"/>
    <s v="藤沢市"/>
    <x v="35"/>
    <x v="6"/>
    <x v="6"/>
    <x v="6"/>
    <x v="6"/>
    <n v="1577"/>
    <n v="22.16"/>
    <n v="601"/>
    <n v="17.79"/>
    <n v="976"/>
    <n v="26.15"/>
    <x v="0"/>
    <n v="0"/>
  </r>
  <r>
    <s v="ti.14205"/>
    <x v="0"/>
    <x v="0"/>
    <x v="3"/>
    <s v="藤沢市"/>
    <x v="35"/>
    <x v="7"/>
    <x v="7"/>
    <x v="7"/>
    <x v="7"/>
    <n v="36"/>
    <n v="0.51"/>
    <n v="2"/>
    <n v="0.06"/>
    <n v="34"/>
    <n v="0.91"/>
    <x v="0"/>
    <n v="0"/>
  </r>
  <r>
    <s v="ti.14205"/>
    <x v="0"/>
    <x v="0"/>
    <x v="3"/>
    <s v="藤沢市"/>
    <x v="35"/>
    <x v="8"/>
    <x v="8"/>
    <x v="8"/>
    <x v="8"/>
    <n v="937"/>
    <n v="13.17"/>
    <n v="438"/>
    <n v="12.96"/>
    <n v="496"/>
    <n v="13.29"/>
    <x v="2"/>
    <n v="60"/>
  </r>
  <r>
    <s v="ti.14205"/>
    <x v="0"/>
    <x v="0"/>
    <x v="3"/>
    <s v="藤沢市"/>
    <x v="35"/>
    <x v="9"/>
    <x v="9"/>
    <x v="9"/>
    <x v="9"/>
    <n v="348"/>
    <n v="4.8899999999999997"/>
    <n v="182"/>
    <n v="5.39"/>
    <n v="166"/>
    <n v="4.45"/>
    <x v="0"/>
    <n v="0"/>
  </r>
  <r>
    <s v="ti.14205"/>
    <x v="0"/>
    <x v="0"/>
    <x v="3"/>
    <s v="藤沢市"/>
    <x v="35"/>
    <x v="10"/>
    <x v="10"/>
    <x v="10"/>
    <x v="10"/>
    <n v="912"/>
    <n v="12.82"/>
    <n v="694"/>
    <n v="20.54"/>
    <n v="218"/>
    <n v="5.84"/>
    <x v="0"/>
    <n v="0"/>
  </r>
  <r>
    <s v="ti.14205"/>
    <x v="0"/>
    <x v="0"/>
    <x v="3"/>
    <s v="藤沢市"/>
    <x v="35"/>
    <x v="11"/>
    <x v="11"/>
    <x v="11"/>
    <x v="11"/>
    <n v="869"/>
    <n v="12.21"/>
    <n v="608"/>
    <n v="17.989999999999998"/>
    <n v="261"/>
    <n v="6.99"/>
    <x v="0"/>
    <n v="0"/>
  </r>
  <r>
    <s v="ti.14205"/>
    <x v="0"/>
    <x v="0"/>
    <x v="3"/>
    <s v="藤沢市"/>
    <x v="35"/>
    <x v="12"/>
    <x v="12"/>
    <x v="12"/>
    <x v="12"/>
    <n v="303"/>
    <n v="4.26"/>
    <n v="197"/>
    <n v="5.83"/>
    <n v="105"/>
    <n v="2.81"/>
    <x v="14"/>
    <n v="20"/>
  </r>
  <r>
    <s v="ti.14205"/>
    <x v="0"/>
    <x v="0"/>
    <x v="3"/>
    <s v="藤沢市"/>
    <x v="35"/>
    <x v="13"/>
    <x v="13"/>
    <x v="13"/>
    <x v="13"/>
    <n v="444"/>
    <n v="6.24"/>
    <n v="319"/>
    <n v="9.44"/>
    <n v="124"/>
    <n v="3.32"/>
    <x v="14"/>
    <n v="20"/>
  </r>
  <r>
    <s v="ti.14205"/>
    <x v="0"/>
    <x v="0"/>
    <x v="3"/>
    <s v="藤沢市"/>
    <x v="35"/>
    <x v="14"/>
    <x v="14"/>
    <x v="14"/>
    <x v="14"/>
    <n v="200"/>
    <n v="2.81"/>
    <n v="60"/>
    <n v="1.78"/>
    <n v="140"/>
    <n v="3.75"/>
    <x v="0"/>
    <n v="0"/>
  </r>
  <r>
    <s v="ti.14206"/>
    <x v="0"/>
    <x v="0"/>
    <x v="3"/>
    <s v="小田原市"/>
    <x v="36"/>
    <x v="0"/>
    <x v="0"/>
    <x v="0"/>
    <x v="0"/>
    <n v="0"/>
    <n v="0"/>
    <n v="0"/>
    <n v="0"/>
    <n v="0"/>
    <n v="0"/>
    <x v="0"/>
    <m/>
  </r>
  <r>
    <s v="ti.14206"/>
    <x v="0"/>
    <x v="0"/>
    <x v="3"/>
    <s v="小田原市"/>
    <x v="36"/>
    <x v="1"/>
    <x v="1"/>
    <x v="1"/>
    <x v="1"/>
    <n v="603"/>
    <n v="13.65"/>
    <n v="141"/>
    <n v="6.3"/>
    <n v="462"/>
    <n v="21.19"/>
    <x v="0"/>
    <m/>
  </r>
  <r>
    <s v="ti.14206"/>
    <x v="0"/>
    <x v="0"/>
    <x v="3"/>
    <s v="小田原市"/>
    <x v="36"/>
    <x v="2"/>
    <x v="2"/>
    <x v="2"/>
    <x v="2"/>
    <n v="346"/>
    <n v="7.83"/>
    <n v="118"/>
    <n v="5.27"/>
    <n v="228"/>
    <n v="10.46"/>
    <x v="0"/>
    <m/>
  </r>
  <r>
    <s v="ti.14206"/>
    <x v="0"/>
    <x v="0"/>
    <x v="3"/>
    <s v="小田原市"/>
    <x v="36"/>
    <x v="3"/>
    <x v="3"/>
    <x v="3"/>
    <x v="3"/>
    <n v="1"/>
    <n v="0.02"/>
    <n v="0"/>
    <n v="0"/>
    <n v="1"/>
    <n v="0.05"/>
    <x v="0"/>
    <m/>
  </r>
  <r>
    <s v="ti.14206"/>
    <x v="0"/>
    <x v="0"/>
    <x v="3"/>
    <s v="小田原市"/>
    <x v="36"/>
    <x v="4"/>
    <x v="4"/>
    <x v="4"/>
    <x v="4"/>
    <n v="30"/>
    <n v="0.68"/>
    <n v="0"/>
    <n v="0"/>
    <n v="30"/>
    <n v="1.38"/>
    <x v="0"/>
    <m/>
  </r>
  <r>
    <s v="ti.14206"/>
    <x v="0"/>
    <x v="0"/>
    <x v="3"/>
    <s v="小田原市"/>
    <x v="36"/>
    <x v="5"/>
    <x v="5"/>
    <x v="5"/>
    <x v="5"/>
    <n v="33"/>
    <n v="0.75"/>
    <n v="1"/>
    <n v="0.04"/>
    <n v="32"/>
    <n v="1.47"/>
    <x v="0"/>
    <m/>
  </r>
  <r>
    <s v="ti.14206"/>
    <x v="0"/>
    <x v="0"/>
    <x v="3"/>
    <s v="小田原市"/>
    <x v="36"/>
    <x v="6"/>
    <x v="6"/>
    <x v="6"/>
    <x v="6"/>
    <n v="1162"/>
    <n v="26.3"/>
    <n v="511"/>
    <n v="22.83"/>
    <n v="651"/>
    <n v="29.86"/>
    <x v="0"/>
    <m/>
  </r>
  <r>
    <s v="ti.14206"/>
    <x v="0"/>
    <x v="0"/>
    <x v="3"/>
    <s v="小田原市"/>
    <x v="36"/>
    <x v="7"/>
    <x v="7"/>
    <x v="7"/>
    <x v="7"/>
    <n v="33"/>
    <n v="0.75"/>
    <n v="4"/>
    <n v="0.18"/>
    <n v="29"/>
    <n v="1.33"/>
    <x v="0"/>
    <m/>
  </r>
  <r>
    <s v="ti.14206"/>
    <x v="0"/>
    <x v="0"/>
    <x v="3"/>
    <s v="小田原市"/>
    <x v="36"/>
    <x v="8"/>
    <x v="8"/>
    <x v="8"/>
    <x v="8"/>
    <n v="410"/>
    <n v="9.2799999999999994"/>
    <n v="150"/>
    <n v="6.7"/>
    <n v="260"/>
    <n v="11.93"/>
    <x v="0"/>
    <m/>
  </r>
  <r>
    <s v="ti.14206"/>
    <x v="0"/>
    <x v="0"/>
    <x v="3"/>
    <s v="小田原市"/>
    <x v="36"/>
    <x v="9"/>
    <x v="9"/>
    <x v="9"/>
    <x v="9"/>
    <n v="216"/>
    <n v="4.8899999999999997"/>
    <n v="134"/>
    <n v="5.99"/>
    <n v="82"/>
    <n v="3.76"/>
    <x v="0"/>
    <m/>
  </r>
  <r>
    <s v="ti.14206"/>
    <x v="0"/>
    <x v="0"/>
    <x v="3"/>
    <s v="小田原市"/>
    <x v="36"/>
    <x v="10"/>
    <x v="10"/>
    <x v="10"/>
    <x v="10"/>
    <n v="555"/>
    <n v="12.56"/>
    <n v="460"/>
    <n v="20.55"/>
    <n v="95"/>
    <n v="4.3600000000000003"/>
    <x v="0"/>
    <m/>
  </r>
  <r>
    <s v="ti.14206"/>
    <x v="0"/>
    <x v="0"/>
    <x v="3"/>
    <s v="小田原市"/>
    <x v="36"/>
    <x v="11"/>
    <x v="11"/>
    <x v="11"/>
    <x v="11"/>
    <n v="545"/>
    <n v="12.34"/>
    <n v="436"/>
    <n v="19.48"/>
    <n v="109"/>
    <n v="5"/>
    <x v="0"/>
    <m/>
  </r>
  <r>
    <s v="ti.14206"/>
    <x v="0"/>
    <x v="0"/>
    <x v="3"/>
    <s v="小田原市"/>
    <x v="36"/>
    <x v="12"/>
    <x v="12"/>
    <x v="12"/>
    <x v="12"/>
    <n v="166"/>
    <n v="3.76"/>
    <n v="113"/>
    <n v="5.05"/>
    <n v="53"/>
    <n v="2.4300000000000002"/>
    <x v="0"/>
    <m/>
  </r>
  <r>
    <s v="ti.14206"/>
    <x v="0"/>
    <x v="0"/>
    <x v="3"/>
    <s v="小田原市"/>
    <x v="36"/>
    <x v="13"/>
    <x v="13"/>
    <x v="13"/>
    <x v="13"/>
    <n v="193"/>
    <n v="4.37"/>
    <n v="127"/>
    <n v="5.67"/>
    <n v="66"/>
    <n v="3.03"/>
    <x v="0"/>
    <m/>
  </r>
  <r>
    <s v="ti.14206"/>
    <x v="0"/>
    <x v="0"/>
    <x v="3"/>
    <s v="小田原市"/>
    <x v="36"/>
    <x v="14"/>
    <x v="14"/>
    <x v="14"/>
    <x v="14"/>
    <n v="125"/>
    <n v="2.83"/>
    <n v="43"/>
    <n v="1.92"/>
    <n v="82"/>
    <n v="3.76"/>
    <x v="0"/>
    <m/>
  </r>
  <r>
    <s v="ti.14207"/>
    <x v="0"/>
    <x v="0"/>
    <x v="3"/>
    <s v="茅ヶ崎市"/>
    <x v="37"/>
    <x v="0"/>
    <x v="0"/>
    <x v="0"/>
    <x v="0"/>
    <n v="0"/>
    <n v="0"/>
    <n v="0"/>
    <n v="0"/>
    <n v="0"/>
    <n v="0"/>
    <x v="0"/>
    <n v="0"/>
  </r>
  <r>
    <s v="ti.14207"/>
    <x v="0"/>
    <x v="0"/>
    <x v="3"/>
    <s v="茅ヶ崎市"/>
    <x v="37"/>
    <x v="1"/>
    <x v="1"/>
    <x v="1"/>
    <x v="1"/>
    <n v="554"/>
    <n v="13.93"/>
    <n v="119"/>
    <n v="5.48"/>
    <n v="435"/>
    <n v="24.18"/>
    <x v="0"/>
    <n v="0"/>
  </r>
  <r>
    <s v="ti.14207"/>
    <x v="0"/>
    <x v="0"/>
    <x v="3"/>
    <s v="茅ヶ崎市"/>
    <x v="37"/>
    <x v="2"/>
    <x v="2"/>
    <x v="2"/>
    <x v="2"/>
    <n v="184"/>
    <n v="4.63"/>
    <n v="52"/>
    <n v="2.4"/>
    <n v="132"/>
    <n v="7.34"/>
    <x v="0"/>
    <n v="0"/>
  </r>
  <r>
    <s v="ti.14207"/>
    <x v="0"/>
    <x v="0"/>
    <x v="3"/>
    <s v="茅ヶ崎市"/>
    <x v="37"/>
    <x v="3"/>
    <x v="3"/>
    <x v="3"/>
    <x v="3"/>
    <n v="0"/>
    <n v="0"/>
    <n v="0"/>
    <n v="0"/>
    <n v="0"/>
    <n v="0"/>
    <x v="0"/>
    <n v="0"/>
  </r>
  <r>
    <s v="ti.14207"/>
    <x v="0"/>
    <x v="0"/>
    <x v="3"/>
    <s v="茅ヶ崎市"/>
    <x v="37"/>
    <x v="4"/>
    <x v="4"/>
    <x v="4"/>
    <x v="4"/>
    <n v="42"/>
    <n v="1.06"/>
    <n v="2"/>
    <n v="0.09"/>
    <n v="40"/>
    <n v="2.2200000000000002"/>
    <x v="0"/>
    <n v="0"/>
  </r>
  <r>
    <s v="ti.14207"/>
    <x v="0"/>
    <x v="0"/>
    <x v="3"/>
    <s v="茅ヶ崎市"/>
    <x v="37"/>
    <x v="5"/>
    <x v="5"/>
    <x v="5"/>
    <x v="5"/>
    <n v="24"/>
    <n v="0.6"/>
    <n v="5"/>
    <n v="0.23"/>
    <n v="19"/>
    <n v="1.06"/>
    <x v="0"/>
    <n v="0"/>
  </r>
  <r>
    <s v="ti.14207"/>
    <x v="0"/>
    <x v="0"/>
    <x v="3"/>
    <s v="茅ヶ崎市"/>
    <x v="37"/>
    <x v="6"/>
    <x v="6"/>
    <x v="6"/>
    <x v="6"/>
    <n v="811"/>
    <n v="20.399999999999999"/>
    <n v="375"/>
    <n v="17.27"/>
    <n v="435"/>
    <n v="24.18"/>
    <x v="14"/>
    <n v="16.670000000000002"/>
  </r>
  <r>
    <s v="ti.14207"/>
    <x v="0"/>
    <x v="0"/>
    <x v="3"/>
    <s v="茅ヶ崎市"/>
    <x v="37"/>
    <x v="7"/>
    <x v="7"/>
    <x v="7"/>
    <x v="7"/>
    <n v="23"/>
    <n v="0.57999999999999996"/>
    <n v="4"/>
    <n v="0.18"/>
    <n v="19"/>
    <n v="1.06"/>
    <x v="0"/>
    <n v="0"/>
  </r>
  <r>
    <s v="ti.14207"/>
    <x v="0"/>
    <x v="0"/>
    <x v="3"/>
    <s v="茅ヶ崎市"/>
    <x v="37"/>
    <x v="8"/>
    <x v="8"/>
    <x v="8"/>
    <x v="8"/>
    <n v="594"/>
    <n v="14.94"/>
    <n v="376"/>
    <n v="17.32"/>
    <n v="218"/>
    <n v="12.12"/>
    <x v="0"/>
    <n v="0"/>
  </r>
  <r>
    <s v="ti.14207"/>
    <x v="0"/>
    <x v="0"/>
    <x v="3"/>
    <s v="茅ヶ崎市"/>
    <x v="37"/>
    <x v="9"/>
    <x v="9"/>
    <x v="9"/>
    <x v="9"/>
    <n v="197"/>
    <n v="4.95"/>
    <n v="84"/>
    <n v="3.87"/>
    <n v="113"/>
    <n v="6.28"/>
    <x v="0"/>
    <n v="0"/>
  </r>
  <r>
    <s v="ti.14207"/>
    <x v="0"/>
    <x v="0"/>
    <x v="3"/>
    <s v="茅ヶ崎市"/>
    <x v="37"/>
    <x v="10"/>
    <x v="10"/>
    <x v="10"/>
    <x v="10"/>
    <n v="518"/>
    <n v="13.03"/>
    <n v="433"/>
    <n v="19.940000000000001"/>
    <n v="84"/>
    <n v="4.67"/>
    <x v="14"/>
    <n v="16.670000000000002"/>
  </r>
  <r>
    <s v="ti.14207"/>
    <x v="0"/>
    <x v="0"/>
    <x v="3"/>
    <s v="茅ヶ崎市"/>
    <x v="37"/>
    <x v="11"/>
    <x v="11"/>
    <x v="11"/>
    <x v="11"/>
    <n v="510"/>
    <n v="12.83"/>
    <n v="391"/>
    <n v="18.010000000000002"/>
    <n v="118"/>
    <n v="6.56"/>
    <x v="14"/>
    <n v="16.670000000000002"/>
  </r>
  <r>
    <s v="ti.14207"/>
    <x v="0"/>
    <x v="0"/>
    <x v="3"/>
    <s v="茅ヶ崎市"/>
    <x v="37"/>
    <x v="12"/>
    <x v="12"/>
    <x v="12"/>
    <x v="12"/>
    <n v="184"/>
    <n v="4.63"/>
    <n v="135"/>
    <n v="6.22"/>
    <n v="48"/>
    <n v="2.67"/>
    <x v="14"/>
    <n v="16.670000000000002"/>
  </r>
  <r>
    <s v="ti.14207"/>
    <x v="0"/>
    <x v="0"/>
    <x v="3"/>
    <s v="茅ヶ崎市"/>
    <x v="37"/>
    <x v="13"/>
    <x v="13"/>
    <x v="13"/>
    <x v="13"/>
    <n v="248"/>
    <n v="6.24"/>
    <n v="172"/>
    <n v="7.92"/>
    <n v="74"/>
    <n v="4.1100000000000003"/>
    <x v="13"/>
    <n v="33.33"/>
  </r>
  <r>
    <s v="ti.14207"/>
    <x v="0"/>
    <x v="0"/>
    <x v="3"/>
    <s v="茅ヶ崎市"/>
    <x v="37"/>
    <x v="14"/>
    <x v="14"/>
    <x v="14"/>
    <x v="14"/>
    <n v="87"/>
    <n v="2.19"/>
    <n v="23"/>
    <n v="1.06"/>
    <n v="64"/>
    <n v="3.56"/>
    <x v="0"/>
    <n v="0"/>
  </r>
  <r>
    <s v="ti.14208"/>
    <x v="0"/>
    <x v="0"/>
    <x v="3"/>
    <s v="逗子市"/>
    <x v="38"/>
    <x v="0"/>
    <x v="0"/>
    <x v="0"/>
    <x v="0"/>
    <n v="0"/>
    <n v="0"/>
    <n v="0"/>
    <n v="0"/>
    <n v="0"/>
    <n v="0"/>
    <x v="0"/>
    <n v="0"/>
  </r>
  <r>
    <s v="ti.14208"/>
    <x v="0"/>
    <x v="0"/>
    <x v="3"/>
    <s v="逗子市"/>
    <x v="38"/>
    <x v="1"/>
    <x v="1"/>
    <x v="1"/>
    <x v="1"/>
    <n v="120"/>
    <n v="10.58"/>
    <n v="34"/>
    <n v="5.48"/>
    <n v="86"/>
    <n v="16.8"/>
    <x v="0"/>
    <n v="0"/>
  </r>
  <r>
    <s v="ti.14208"/>
    <x v="0"/>
    <x v="0"/>
    <x v="3"/>
    <s v="逗子市"/>
    <x v="38"/>
    <x v="2"/>
    <x v="2"/>
    <x v="2"/>
    <x v="2"/>
    <n v="40"/>
    <n v="3.53"/>
    <n v="11"/>
    <n v="1.77"/>
    <n v="29"/>
    <n v="5.66"/>
    <x v="0"/>
    <n v="0"/>
  </r>
  <r>
    <s v="ti.14208"/>
    <x v="0"/>
    <x v="0"/>
    <x v="3"/>
    <s v="逗子市"/>
    <x v="38"/>
    <x v="3"/>
    <x v="3"/>
    <x v="3"/>
    <x v="3"/>
    <n v="0"/>
    <n v="0"/>
    <n v="0"/>
    <n v="0"/>
    <n v="0"/>
    <n v="0"/>
    <x v="0"/>
    <n v="0"/>
  </r>
  <r>
    <s v="ti.14208"/>
    <x v="0"/>
    <x v="0"/>
    <x v="3"/>
    <s v="逗子市"/>
    <x v="38"/>
    <x v="4"/>
    <x v="4"/>
    <x v="4"/>
    <x v="4"/>
    <n v="17"/>
    <n v="1.5"/>
    <n v="1"/>
    <n v="0.16"/>
    <n v="16"/>
    <n v="3.13"/>
    <x v="0"/>
    <n v="0"/>
  </r>
  <r>
    <s v="ti.14208"/>
    <x v="0"/>
    <x v="0"/>
    <x v="3"/>
    <s v="逗子市"/>
    <x v="38"/>
    <x v="5"/>
    <x v="5"/>
    <x v="5"/>
    <x v="5"/>
    <n v="4"/>
    <n v="0.35"/>
    <n v="2"/>
    <n v="0.32"/>
    <n v="2"/>
    <n v="0.39"/>
    <x v="0"/>
    <n v="0"/>
  </r>
  <r>
    <s v="ti.14208"/>
    <x v="0"/>
    <x v="0"/>
    <x v="3"/>
    <s v="逗子市"/>
    <x v="38"/>
    <x v="6"/>
    <x v="6"/>
    <x v="6"/>
    <x v="6"/>
    <n v="275"/>
    <n v="24.25"/>
    <n v="138"/>
    <n v="22.26"/>
    <n v="137"/>
    <n v="26.76"/>
    <x v="0"/>
    <n v="0"/>
  </r>
  <r>
    <s v="ti.14208"/>
    <x v="0"/>
    <x v="0"/>
    <x v="3"/>
    <s v="逗子市"/>
    <x v="38"/>
    <x v="7"/>
    <x v="7"/>
    <x v="7"/>
    <x v="7"/>
    <n v="3"/>
    <n v="0.26"/>
    <n v="1"/>
    <n v="0.16"/>
    <n v="2"/>
    <n v="0.39"/>
    <x v="0"/>
    <n v="0"/>
  </r>
  <r>
    <s v="ti.14208"/>
    <x v="0"/>
    <x v="0"/>
    <x v="3"/>
    <s v="逗子市"/>
    <x v="38"/>
    <x v="8"/>
    <x v="8"/>
    <x v="8"/>
    <x v="8"/>
    <n v="164"/>
    <n v="14.46"/>
    <n v="87"/>
    <n v="14.03"/>
    <n v="76"/>
    <n v="14.84"/>
    <x v="14"/>
    <n v="50"/>
  </r>
  <r>
    <s v="ti.14208"/>
    <x v="0"/>
    <x v="0"/>
    <x v="3"/>
    <s v="逗子市"/>
    <x v="38"/>
    <x v="9"/>
    <x v="9"/>
    <x v="9"/>
    <x v="9"/>
    <n v="75"/>
    <n v="6.61"/>
    <n v="27"/>
    <n v="4.3499999999999996"/>
    <n v="48"/>
    <n v="9.3800000000000008"/>
    <x v="0"/>
    <n v="0"/>
  </r>
  <r>
    <s v="ti.14208"/>
    <x v="0"/>
    <x v="0"/>
    <x v="3"/>
    <s v="逗子市"/>
    <x v="38"/>
    <x v="10"/>
    <x v="10"/>
    <x v="10"/>
    <x v="10"/>
    <n v="124"/>
    <n v="10.93"/>
    <n v="97"/>
    <n v="15.65"/>
    <n v="26"/>
    <n v="5.08"/>
    <x v="14"/>
    <n v="50"/>
  </r>
  <r>
    <s v="ti.14208"/>
    <x v="0"/>
    <x v="0"/>
    <x v="3"/>
    <s v="逗子市"/>
    <x v="38"/>
    <x v="11"/>
    <x v="11"/>
    <x v="11"/>
    <x v="11"/>
    <n v="151"/>
    <n v="13.32"/>
    <n v="111"/>
    <n v="17.899999999999999"/>
    <n v="40"/>
    <n v="7.81"/>
    <x v="0"/>
    <n v="0"/>
  </r>
  <r>
    <s v="ti.14208"/>
    <x v="0"/>
    <x v="0"/>
    <x v="3"/>
    <s v="逗子市"/>
    <x v="38"/>
    <x v="12"/>
    <x v="12"/>
    <x v="12"/>
    <x v="12"/>
    <n v="55"/>
    <n v="4.8499999999999996"/>
    <n v="49"/>
    <n v="7.9"/>
    <n v="6"/>
    <n v="1.17"/>
    <x v="0"/>
    <n v="0"/>
  </r>
  <r>
    <s v="ti.14208"/>
    <x v="0"/>
    <x v="0"/>
    <x v="3"/>
    <s v="逗子市"/>
    <x v="38"/>
    <x v="13"/>
    <x v="13"/>
    <x v="13"/>
    <x v="13"/>
    <n v="80"/>
    <n v="7.05"/>
    <n v="53"/>
    <n v="8.5500000000000007"/>
    <n v="27"/>
    <n v="5.27"/>
    <x v="0"/>
    <n v="0"/>
  </r>
  <r>
    <s v="ti.14208"/>
    <x v="0"/>
    <x v="0"/>
    <x v="3"/>
    <s v="逗子市"/>
    <x v="38"/>
    <x v="14"/>
    <x v="14"/>
    <x v="14"/>
    <x v="14"/>
    <n v="26"/>
    <n v="2.29"/>
    <n v="9"/>
    <n v="1.45"/>
    <n v="17"/>
    <n v="3.32"/>
    <x v="0"/>
    <n v="0"/>
  </r>
  <r>
    <s v="ti.14210"/>
    <x v="0"/>
    <x v="0"/>
    <x v="3"/>
    <s v="三浦市"/>
    <x v="39"/>
    <x v="0"/>
    <x v="0"/>
    <x v="0"/>
    <x v="0"/>
    <n v="0"/>
    <n v="0"/>
    <n v="0"/>
    <n v="0"/>
    <n v="0"/>
    <n v="0"/>
    <x v="0"/>
    <n v="0"/>
  </r>
  <r>
    <s v="ti.14210"/>
    <x v="0"/>
    <x v="0"/>
    <x v="3"/>
    <s v="三浦市"/>
    <x v="39"/>
    <x v="1"/>
    <x v="1"/>
    <x v="1"/>
    <x v="1"/>
    <n v="172"/>
    <n v="14.93"/>
    <n v="80"/>
    <n v="11.75"/>
    <n v="92"/>
    <n v="19.57"/>
    <x v="0"/>
    <n v="0"/>
  </r>
  <r>
    <s v="ti.14210"/>
    <x v="0"/>
    <x v="0"/>
    <x v="3"/>
    <s v="三浦市"/>
    <x v="39"/>
    <x v="2"/>
    <x v="2"/>
    <x v="2"/>
    <x v="2"/>
    <n v="77"/>
    <n v="6.68"/>
    <n v="30"/>
    <n v="4.41"/>
    <n v="47"/>
    <n v="10"/>
    <x v="0"/>
    <n v="0"/>
  </r>
  <r>
    <s v="ti.14210"/>
    <x v="0"/>
    <x v="0"/>
    <x v="3"/>
    <s v="三浦市"/>
    <x v="39"/>
    <x v="3"/>
    <x v="3"/>
    <x v="3"/>
    <x v="3"/>
    <n v="0"/>
    <n v="0"/>
    <n v="0"/>
    <n v="0"/>
    <n v="0"/>
    <n v="0"/>
    <x v="0"/>
    <n v="0"/>
  </r>
  <r>
    <s v="ti.14210"/>
    <x v="0"/>
    <x v="0"/>
    <x v="3"/>
    <s v="三浦市"/>
    <x v="39"/>
    <x v="4"/>
    <x v="4"/>
    <x v="4"/>
    <x v="4"/>
    <n v="4"/>
    <n v="0.35"/>
    <n v="1"/>
    <n v="0.15"/>
    <n v="3"/>
    <n v="0.64"/>
    <x v="0"/>
    <n v="0"/>
  </r>
  <r>
    <s v="ti.14210"/>
    <x v="0"/>
    <x v="0"/>
    <x v="3"/>
    <s v="三浦市"/>
    <x v="39"/>
    <x v="5"/>
    <x v="5"/>
    <x v="5"/>
    <x v="5"/>
    <n v="8"/>
    <n v="0.69"/>
    <n v="3"/>
    <n v="0.44"/>
    <n v="5"/>
    <n v="1.06"/>
    <x v="0"/>
    <n v="0"/>
  </r>
  <r>
    <s v="ti.14210"/>
    <x v="0"/>
    <x v="0"/>
    <x v="3"/>
    <s v="三浦市"/>
    <x v="39"/>
    <x v="6"/>
    <x v="6"/>
    <x v="6"/>
    <x v="6"/>
    <n v="294"/>
    <n v="25.52"/>
    <n v="127"/>
    <n v="18.649999999999999"/>
    <n v="167"/>
    <n v="35.53"/>
    <x v="0"/>
    <n v="0"/>
  </r>
  <r>
    <s v="ti.14210"/>
    <x v="0"/>
    <x v="0"/>
    <x v="3"/>
    <s v="三浦市"/>
    <x v="39"/>
    <x v="7"/>
    <x v="7"/>
    <x v="7"/>
    <x v="7"/>
    <n v="3"/>
    <n v="0.26"/>
    <n v="1"/>
    <n v="0.15"/>
    <n v="2"/>
    <n v="0.43"/>
    <x v="0"/>
    <n v="0"/>
  </r>
  <r>
    <s v="ti.14210"/>
    <x v="0"/>
    <x v="0"/>
    <x v="3"/>
    <s v="三浦市"/>
    <x v="39"/>
    <x v="8"/>
    <x v="8"/>
    <x v="8"/>
    <x v="8"/>
    <n v="91"/>
    <n v="7.9"/>
    <n v="49"/>
    <n v="7.2"/>
    <n v="42"/>
    <n v="8.94"/>
    <x v="0"/>
    <n v="0"/>
  </r>
  <r>
    <s v="ti.14210"/>
    <x v="0"/>
    <x v="0"/>
    <x v="3"/>
    <s v="三浦市"/>
    <x v="39"/>
    <x v="9"/>
    <x v="9"/>
    <x v="9"/>
    <x v="9"/>
    <n v="26"/>
    <n v="2.2599999999999998"/>
    <n v="15"/>
    <n v="2.2000000000000002"/>
    <n v="11"/>
    <n v="2.34"/>
    <x v="0"/>
    <n v="0"/>
  </r>
  <r>
    <s v="ti.14210"/>
    <x v="0"/>
    <x v="0"/>
    <x v="3"/>
    <s v="三浦市"/>
    <x v="39"/>
    <x v="10"/>
    <x v="10"/>
    <x v="10"/>
    <x v="10"/>
    <n v="211"/>
    <n v="18.32"/>
    <n v="183"/>
    <n v="26.87"/>
    <n v="28"/>
    <n v="5.96"/>
    <x v="0"/>
    <n v="0"/>
  </r>
  <r>
    <s v="ti.14210"/>
    <x v="0"/>
    <x v="0"/>
    <x v="3"/>
    <s v="三浦市"/>
    <x v="39"/>
    <x v="11"/>
    <x v="11"/>
    <x v="11"/>
    <x v="11"/>
    <n v="170"/>
    <n v="14.76"/>
    <n v="138"/>
    <n v="20.260000000000002"/>
    <n v="32"/>
    <n v="6.81"/>
    <x v="0"/>
    <n v="0"/>
  </r>
  <r>
    <s v="ti.14210"/>
    <x v="0"/>
    <x v="0"/>
    <x v="3"/>
    <s v="三浦市"/>
    <x v="39"/>
    <x v="12"/>
    <x v="12"/>
    <x v="12"/>
    <x v="12"/>
    <n v="29"/>
    <n v="2.52"/>
    <n v="23"/>
    <n v="3.38"/>
    <n v="6"/>
    <n v="1.28"/>
    <x v="0"/>
    <n v="0"/>
  </r>
  <r>
    <s v="ti.14210"/>
    <x v="0"/>
    <x v="0"/>
    <x v="3"/>
    <s v="三浦市"/>
    <x v="39"/>
    <x v="13"/>
    <x v="13"/>
    <x v="13"/>
    <x v="13"/>
    <n v="44"/>
    <n v="3.82"/>
    <n v="27"/>
    <n v="3.96"/>
    <n v="16"/>
    <n v="3.4"/>
    <x v="14"/>
    <n v="100"/>
  </r>
  <r>
    <s v="ti.14210"/>
    <x v="0"/>
    <x v="0"/>
    <x v="3"/>
    <s v="三浦市"/>
    <x v="39"/>
    <x v="14"/>
    <x v="14"/>
    <x v="14"/>
    <x v="14"/>
    <n v="23"/>
    <n v="2"/>
    <n v="4"/>
    <n v="0.59"/>
    <n v="19"/>
    <n v="4.04"/>
    <x v="0"/>
    <n v="0"/>
  </r>
  <r>
    <s v="ti.14211"/>
    <x v="0"/>
    <x v="0"/>
    <x v="3"/>
    <s v="秦野市"/>
    <x v="40"/>
    <x v="0"/>
    <x v="0"/>
    <x v="0"/>
    <x v="0"/>
    <n v="0"/>
    <n v="0"/>
    <n v="0"/>
    <n v="0"/>
    <n v="0"/>
    <n v="0"/>
    <x v="0"/>
    <n v="0"/>
  </r>
  <r>
    <s v="ti.14211"/>
    <x v="0"/>
    <x v="0"/>
    <x v="3"/>
    <s v="秦野市"/>
    <x v="40"/>
    <x v="1"/>
    <x v="1"/>
    <x v="1"/>
    <x v="1"/>
    <n v="388"/>
    <n v="14.13"/>
    <n v="88"/>
    <n v="6.32"/>
    <n v="300"/>
    <n v="22.22"/>
    <x v="0"/>
    <n v="0"/>
  </r>
  <r>
    <s v="ti.14211"/>
    <x v="0"/>
    <x v="0"/>
    <x v="3"/>
    <s v="秦野市"/>
    <x v="40"/>
    <x v="2"/>
    <x v="2"/>
    <x v="2"/>
    <x v="2"/>
    <n v="243"/>
    <n v="8.85"/>
    <n v="59"/>
    <n v="4.24"/>
    <n v="184"/>
    <n v="13.63"/>
    <x v="0"/>
    <n v="0"/>
  </r>
  <r>
    <s v="ti.14211"/>
    <x v="0"/>
    <x v="0"/>
    <x v="3"/>
    <s v="秦野市"/>
    <x v="40"/>
    <x v="3"/>
    <x v="3"/>
    <x v="3"/>
    <x v="3"/>
    <n v="0"/>
    <n v="0"/>
    <n v="0"/>
    <n v="0"/>
    <n v="0"/>
    <n v="0"/>
    <x v="0"/>
    <n v="0"/>
  </r>
  <r>
    <s v="ti.14211"/>
    <x v="0"/>
    <x v="0"/>
    <x v="3"/>
    <s v="秦野市"/>
    <x v="40"/>
    <x v="4"/>
    <x v="4"/>
    <x v="4"/>
    <x v="4"/>
    <n v="18"/>
    <n v="0.66"/>
    <n v="2"/>
    <n v="0.14000000000000001"/>
    <n v="15"/>
    <n v="1.1100000000000001"/>
    <x v="14"/>
    <n v="33.33"/>
  </r>
  <r>
    <s v="ti.14211"/>
    <x v="0"/>
    <x v="0"/>
    <x v="3"/>
    <s v="秦野市"/>
    <x v="40"/>
    <x v="5"/>
    <x v="5"/>
    <x v="5"/>
    <x v="5"/>
    <n v="16"/>
    <n v="0.57999999999999996"/>
    <n v="1"/>
    <n v="7.0000000000000007E-2"/>
    <n v="15"/>
    <n v="1.1100000000000001"/>
    <x v="0"/>
    <n v="0"/>
  </r>
  <r>
    <s v="ti.14211"/>
    <x v="0"/>
    <x v="0"/>
    <x v="3"/>
    <s v="秦野市"/>
    <x v="40"/>
    <x v="6"/>
    <x v="6"/>
    <x v="6"/>
    <x v="6"/>
    <n v="600"/>
    <n v="21.85"/>
    <n v="264"/>
    <n v="18.95"/>
    <n v="335"/>
    <n v="24.81"/>
    <x v="14"/>
    <n v="33.33"/>
  </r>
  <r>
    <s v="ti.14211"/>
    <x v="0"/>
    <x v="0"/>
    <x v="3"/>
    <s v="秦野市"/>
    <x v="40"/>
    <x v="7"/>
    <x v="7"/>
    <x v="7"/>
    <x v="7"/>
    <n v="14"/>
    <n v="0.51"/>
    <n v="1"/>
    <n v="7.0000000000000007E-2"/>
    <n v="13"/>
    <n v="0.96"/>
    <x v="0"/>
    <n v="0"/>
  </r>
  <r>
    <s v="ti.14211"/>
    <x v="0"/>
    <x v="0"/>
    <x v="3"/>
    <s v="秦野市"/>
    <x v="40"/>
    <x v="8"/>
    <x v="8"/>
    <x v="8"/>
    <x v="8"/>
    <n v="347"/>
    <n v="12.64"/>
    <n v="164"/>
    <n v="11.77"/>
    <n v="183"/>
    <n v="13.56"/>
    <x v="0"/>
    <n v="0"/>
  </r>
  <r>
    <s v="ti.14211"/>
    <x v="0"/>
    <x v="0"/>
    <x v="3"/>
    <s v="秦野市"/>
    <x v="40"/>
    <x v="9"/>
    <x v="9"/>
    <x v="9"/>
    <x v="9"/>
    <n v="116"/>
    <n v="4.22"/>
    <n v="66"/>
    <n v="4.74"/>
    <n v="50"/>
    <n v="3.7"/>
    <x v="0"/>
    <n v="0"/>
  </r>
  <r>
    <s v="ti.14211"/>
    <x v="0"/>
    <x v="0"/>
    <x v="3"/>
    <s v="秦野市"/>
    <x v="40"/>
    <x v="10"/>
    <x v="10"/>
    <x v="10"/>
    <x v="10"/>
    <n v="311"/>
    <n v="11.33"/>
    <n v="260"/>
    <n v="18.66"/>
    <n v="51"/>
    <n v="3.78"/>
    <x v="0"/>
    <n v="0"/>
  </r>
  <r>
    <s v="ti.14211"/>
    <x v="0"/>
    <x v="0"/>
    <x v="3"/>
    <s v="秦野市"/>
    <x v="40"/>
    <x v="11"/>
    <x v="11"/>
    <x v="11"/>
    <x v="11"/>
    <n v="357"/>
    <n v="13"/>
    <n v="268"/>
    <n v="19.239999999999998"/>
    <n v="89"/>
    <n v="6.59"/>
    <x v="0"/>
    <n v="0"/>
  </r>
  <r>
    <s v="ti.14211"/>
    <x v="0"/>
    <x v="0"/>
    <x v="3"/>
    <s v="秦野市"/>
    <x v="40"/>
    <x v="12"/>
    <x v="12"/>
    <x v="12"/>
    <x v="12"/>
    <n v="146"/>
    <n v="5.32"/>
    <n v="113"/>
    <n v="8.11"/>
    <n v="33"/>
    <n v="2.44"/>
    <x v="0"/>
    <n v="0"/>
  </r>
  <r>
    <s v="ti.14211"/>
    <x v="0"/>
    <x v="0"/>
    <x v="3"/>
    <s v="秦野市"/>
    <x v="40"/>
    <x v="13"/>
    <x v="13"/>
    <x v="13"/>
    <x v="13"/>
    <n v="125"/>
    <n v="4.55"/>
    <n v="90"/>
    <n v="6.46"/>
    <n v="35"/>
    <n v="2.59"/>
    <x v="0"/>
    <n v="0"/>
  </r>
  <r>
    <s v="ti.14211"/>
    <x v="0"/>
    <x v="0"/>
    <x v="3"/>
    <s v="秦野市"/>
    <x v="40"/>
    <x v="14"/>
    <x v="14"/>
    <x v="14"/>
    <x v="14"/>
    <n v="65"/>
    <n v="2.37"/>
    <n v="17"/>
    <n v="1.22"/>
    <n v="47"/>
    <n v="3.48"/>
    <x v="14"/>
    <n v="33.33"/>
  </r>
  <r>
    <s v="ti.14212"/>
    <x v="0"/>
    <x v="0"/>
    <x v="3"/>
    <s v="厚木市"/>
    <x v="41"/>
    <x v="0"/>
    <x v="0"/>
    <x v="0"/>
    <x v="0"/>
    <n v="1"/>
    <n v="0.02"/>
    <n v="0"/>
    <n v="0"/>
    <n v="1"/>
    <n v="0.03"/>
    <x v="0"/>
    <n v="0"/>
  </r>
  <r>
    <s v="ti.14212"/>
    <x v="0"/>
    <x v="0"/>
    <x v="3"/>
    <s v="厚木市"/>
    <x v="41"/>
    <x v="1"/>
    <x v="1"/>
    <x v="1"/>
    <x v="1"/>
    <n v="811"/>
    <n v="15.73"/>
    <n v="177"/>
    <n v="7.97"/>
    <n v="634"/>
    <n v="21.68"/>
    <x v="0"/>
    <n v="0"/>
  </r>
  <r>
    <s v="ti.14212"/>
    <x v="0"/>
    <x v="0"/>
    <x v="3"/>
    <s v="厚木市"/>
    <x v="41"/>
    <x v="2"/>
    <x v="2"/>
    <x v="2"/>
    <x v="2"/>
    <n v="416"/>
    <n v="8.07"/>
    <n v="72"/>
    <n v="3.24"/>
    <n v="344"/>
    <n v="11.76"/>
    <x v="0"/>
    <n v="0"/>
  </r>
  <r>
    <s v="ti.14212"/>
    <x v="0"/>
    <x v="0"/>
    <x v="3"/>
    <s v="厚木市"/>
    <x v="41"/>
    <x v="3"/>
    <x v="3"/>
    <x v="3"/>
    <x v="3"/>
    <n v="3"/>
    <n v="0.06"/>
    <n v="0"/>
    <n v="0"/>
    <n v="3"/>
    <n v="0.1"/>
    <x v="0"/>
    <n v="0"/>
  </r>
  <r>
    <s v="ti.14212"/>
    <x v="0"/>
    <x v="0"/>
    <x v="3"/>
    <s v="厚木市"/>
    <x v="41"/>
    <x v="4"/>
    <x v="4"/>
    <x v="4"/>
    <x v="4"/>
    <n v="51"/>
    <n v="0.99"/>
    <n v="1"/>
    <n v="0.05"/>
    <n v="50"/>
    <n v="1.71"/>
    <x v="0"/>
    <n v="0"/>
  </r>
  <r>
    <s v="ti.14212"/>
    <x v="0"/>
    <x v="0"/>
    <x v="3"/>
    <s v="厚木市"/>
    <x v="41"/>
    <x v="5"/>
    <x v="5"/>
    <x v="5"/>
    <x v="5"/>
    <n v="89"/>
    <n v="1.73"/>
    <n v="11"/>
    <n v="0.5"/>
    <n v="78"/>
    <n v="2.67"/>
    <x v="0"/>
    <n v="0"/>
  </r>
  <r>
    <s v="ti.14212"/>
    <x v="0"/>
    <x v="0"/>
    <x v="3"/>
    <s v="厚木市"/>
    <x v="41"/>
    <x v="6"/>
    <x v="6"/>
    <x v="6"/>
    <x v="6"/>
    <n v="979"/>
    <n v="18.989999999999998"/>
    <n v="287"/>
    <n v="12.92"/>
    <n v="687"/>
    <n v="23.5"/>
    <x v="4"/>
    <n v="50"/>
  </r>
  <r>
    <s v="ti.14212"/>
    <x v="0"/>
    <x v="0"/>
    <x v="3"/>
    <s v="厚木市"/>
    <x v="41"/>
    <x v="7"/>
    <x v="7"/>
    <x v="7"/>
    <x v="7"/>
    <n v="25"/>
    <n v="0.48"/>
    <n v="2"/>
    <n v="0.09"/>
    <n v="23"/>
    <n v="0.79"/>
    <x v="0"/>
    <n v="0"/>
  </r>
  <r>
    <s v="ti.14212"/>
    <x v="0"/>
    <x v="0"/>
    <x v="3"/>
    <s v="厚木市"/>
    <x v="41"/>
    <x v="8"/>
    <x v="8"/>
    <x v="8"/>
    <x v="8"/>
    <n v="1047"/>
    <n v="20.309999999999999"/>
    <n v="581"/>
    <n v="26.16"/>
    <n v="464"/>
    <n v="15.87"/>
    <x v="13"/>
    <n v="20"/>
  </r>
  <r>
    <s v="ti.14212"/>
    <x v="0"/>
    <x v="0"/>
    <x v="3"/>
    <s v="厚木市"/>
    <x v="41"/>
    <x v="9"/>
    <x v="9"/>
    <x v="9"/>
    <x v="9"/>
    <n v="241"/>
    <n v="4.68"/>
    <n v="112"/>
    <n v="5.04"/>
    <n v="129"/>
    <n v="4.41"/>
    <x v="0"/>
    <n v="0"/>
  </r>
  <r>
    <s v="ti.14212"/>
    <x v="0"/>
    <x v="0"/>
    <x v="3"/>
    <s v="厚木市"/>
    <x v="41"/>
    <x v="10"/>
    <x v="10"/>
    <x v="10"/>
    <x v="10"/>
    <n v="479"/>
    <n v="9.2899999999999991"/>
    <n v="363"/>
    <n v="16.34"/>
    <n v="115"/>
    <n v="3.93"/>
    <x v="14"/>
    <n v="10"/>
  </r>
  <r>
    <s v="ti.14212"/>
    <x v="0"/>
    <x v="0"/>
    <x v="3"/>
    <s v="厚木市"/>
    <x v="41"/>
    <x v="11"/>
    <x v="11"/>
    <x v="11"/>
    <x v="11"/>
    <n v="468"/>
    <n v="9.08"/>
    <n v="329"/>
    <n v="14.81"/>
    <n v="139"/>
    <n v="4.75"/>
    <x v="0"/>
    <n v="0"/>
  </r>
  <r>
    <s v="ti.14212"/>
    <x v="0"/>
    <x v="0"/>
    <x v="3"/>
    <s v="厚木市"/>
    <x v="41"/>
    <x v="12"/>
    <x v="12"/>
    <x v="12"/>
    <x v="12"/>
    <n v="159"/>
    <n v="3.08"/>
    <n v="93"/>
    <n v="4.1900000000000004"/>
    <n v="66"/>
    <n v="2.2599999999999998"/>
    <x v="0"/>
    <n v="0"/>
  </r>
  <r>
    <s v="ti.14212"/>
    <x v="0"/>
    <x v="0"/>
    <x v="3"/>
    <s v="厚木市"/>
    <x v="41"/>
    <x v="13"/>
    <x v="13"/>
    <x v="13"/>
    <x v="13"/>
    <n v="198"/>
    <n v="3.84"/>
    <n v="140"/>
    <n v="6.3"/>
    <n v="57"/>
    <n v="1.95"/>
    <x v="14"/>
    <n v="10"/>
  </r>
  <r>
    <s v="ti.14212"/>
    <x v="0"/>
    <x v="0"/>
    <x v="3"/>
    <s v="厚木市"/>
    <x v="41"/>
    <x v="14"/>
    <x v="14"/>
    <x v="14"/>
    <x v="14"/>
    <n v="188"/>
    <n v="3.65"/>
    <n v="53"/>
    <n v="2.39"/>
    <n v="134"/>
    <n v="4.58"/>
    <x v="14"/>
    <n v="10"/>
  </r>
  <r>
    <s v="ti.14213"/>
    <x v="0"/>
    <x v="0"/>
    <x v="3"/>
    <s v="大和市"/>
    <x v="42"/>
    <x v="0"/>
    <x v="0"/>
    <x v="0"/>
    <x v="0"/>
    <n v="0"/>
    <n v="0"/>
    <n v="0"/>
    <n v="0"/>
    <n v="0"/>
    <n v="0"/>
    <x v="0"/>
    <n v="0"/>
  </r>
  <r>
    <s v="ti.14213"/>
    <x v="0"/>
    <x v="0"/>
    <x v="3"/>
    <s v="大和市"/>
    <x v="42"/>
    <x v="1"/>
    <x v="1"/>
    <x v="1"/>
    <x v="1"/>
    <n v="588"/>
    <n v="13.63"/>
    <n v="81"/>
    <n v="3.96"/>
    <n v="507"/>
    <n v="22.45"/>
    <x v="0"/>
    <n v="0"/>
  </r>
  <r>
    <s v="ti.14213"/>
    <x v="0"/>
    <x v="0"/>
    <x v="3"/>
    <s v="大和市"/>
    <x v="42"/>
    <x v="2"/>
    <x v="2"/>
    <x v="2"/>
    <x v="2"/>
    <n v="282"/>
    <n v="6.54"/>
    <n v="38"/>
    <n v="1.86"/>
    <n v="244"/>
    <n v="10.81"/>
    <x v="0"/>
    <n v="0"/>
  </r>
  <r>
    <s v="ti.14213"/>
    <x v="0"/>
    <x v="0"/>
    <x v="3"/>
    <s v="大和市"/>
    <x v="42"/>
    <x v="3"/>
    <x v="3"/>
    <x v="3"/>
    <x v="3"/>
    <n v="0"/>
    <n v="0"/>
    <n v="0"/>
    <n v="0"/>
    <n v="0"/>
    <n v="0"/>
    <x v="0"/>
    <n v="0"/>
  </r>
  <r>
    <s v="ti.14213"/>
    <x v="0"/>
    <x v="0"/>
    <x v="3"/>
    <s v="大和市"/>
    <x v="42"/>
    <x v="4"/>
    <x v="4"/>
    <x v="4"/>
    <x v="4"/>
    <n v="41"/>
    <n v="0.95"/>
    <n v="1"/>
    <n v="0.05"/>
    <n v="39"/>
    <n v="1.73"/>
    <x v="14"/>
    <n v="8.33"/>
  </r>
  <r>
    <s v="ti.14213"/>
    <x v="0"/>
    <x v="0"/>
    <x v="3"/>
    <s v="大和市"/>
    <x v="42"/>
    <x v="5"/>
    <x v="5"/>
    <x v="5"/>
    <x v="5"/>
    <n v="26"/>
    <n v="0.6"/>
    <n v="6"/>
    <n v="0.28999999999999998"/>
    <n v="20"/>
    <n v="0.89"/>
    <x v="0"/>
    <n v="0"/>
  </r>
  <r>
    <s v="ti.14213"/>
    <x v="0"/>
    <x v="0"/>
    <x v="3"/>
    <s v="大和市"/>
    <x v="42"/>
    <x v="6"/>
    <x v="6"/>
    <x v="6"/>
    <x v="6"/>
    <n v="838"/>
    <n v="19.43"/>
    <n v="312"/>
    <n v="15.27"/>
    <n v="525"/>
    <n v="23.25"/>
    <x v="14"/>
    <n v="8.33"/>
  </r>
  <r>
    <s v="ti.14213"/>
    <x v="0"/>
    <x v="0"/>
    <x v="3"/>
    <s v="大和市"/>
    <x v="42"/>
    <x v="7"/>
    <x v="7"/>
    <x v="7"/>
    <x v="7"/>
    <n v="24"/>
    <n v="0.56000000000000005"/>
    <n v="2"/>
    <n v="0.1"/>
    <n v="22"/>
    <n v="0.97"/>
    <x v="0"/>
    <n v="0"/>
  </r>
  <r>
    <s v="ti.14213"/>
    <x v="0"/>
    <x v="0"/>
    <x v="3"/>
    <s v="大和市"/>
    <x v="42"/>
    <x v="8"/>
    <x v="8"/>
    <x v="8"/>
    <x v="8"/>
    <n v="723"/>
    <n v="16.760000000000002"/>
    <n v="372"/>
    <n v="18.21"/>
    <n v="351"/>
    <n v="15.54"/>
    <x v="0"/>
    <n v="0"/>
  </r>
  <r>
    <s v="ti.14213"/>
    <x v="0"/>
    <x v="0"/>
    <x v="3"/>
    <s v="大和市"/>
    <x v="42"/>
    <x v="9"/>
    <x v="9"/>
    <x v="9"/>
    <x v="9"/>
    <n v="193"/>
    <n v="4.47"/>
    <n v="89"/>
    <n v="4.3600000000000003"/>
    <n v="104"/>
    <n v="4.6100000000000003"/>
    <x v="0"/>
    <n v="0"/>
  </r>
  <r>
    <s v="ti.14213"/>
    <x v="0"/>
    <x v="0"/>
    <x v="3"/>
    <s v="大和市"/>
    <x v="42"/>
    <x v="10"/>
    <x v="10"/>
    <x v="10"/>
    <x v="10"/>
    <n v="595"/>
    <n v="13.8"/>
    <n v="486"/>
    <n v="23.79"/>
    <n v="109"/>
    <n v="4.83"/>
    <x v="0"/>
    <n v="0"/>
  </r>
  <r>
    <s v="ti.14213"/>
    <x v="0"/>
    <x v="0"/>
    <x v="3"/>
    <s v="大和市"/>
    <x v="42"/>
    <x v="11"/>
    <x v="11"/>
    <x v="11"/>
    <x v="11"/>
    <n v="508"/>
    <n v="11.78"/>
    <n v="354"/>
    <n v="17.329999999999998"/>
    <n v="154"/>
    <n v="6.82"/>
    <x v="0"/>
    <n v="0"/>
  </r>
  <r>
    <s v="ti.14213"/>
    <x v="0"/>
    <x v="0"/>
    <x v="3"/>
    <s v="大和市"/>
    <x v="42"/>
    <x v="12"/>
    <x v="12"/>
    <x v="12"/>
    <x v="12"/>
    <n v="169"/>
    <n v="3.92"/>
    <n v="117"/>
    <n v="5.73"/>
    <n v="52"/>
    <n v="2.2999999999999998"/>
    <x v="0"/>
    <n v="0"/>
  </r>
  <r>
    <s v="ti.14213"/>
    <x v="0"/>
    <x v="0"/>
    <x v="3"/>
    <s v="大和市"/>
    <x v="42"/>
    <x v="13"/>
    <x v="13"/>
    <x v="13"/>
    <x v="13"/>
    <n v="201"/>
    <n v="4.66"/>
    <n v="149"/>
    <n v="7.29"/>
    <n v="51"/>
    <n v="2.2599999999999998"/>
    <x v="14"/>
    <n v="8.33"/>
  </r>
  <r>
    <s v="ti.14213"/>
    <x v="0"/>
    <x v="0"/>
    <x v="3"/>
    <s v="大和市"/>
    <x v="42"/>
    <x v="14"/>
    <x v="14"/>
    <x v="14"/>
    <x v="14"/>
    <n v="125"/>
    <n v="2.9"/>
    <n v="36"/>
    <n v="1.76"/>
    <n v="80"/>
    <n v="3.54"/>
    <x v="9"/>
    <n v="75"/>
  </r>
  <r>
    <s v="ti.14214"/>
    <x v="0"/>
    <x v="0"/>
    <x v="3"/>
    <s v="伊勢原市"/>
    <x v="43"/>
    <x v="0"/>
    <x v="0"/>
    <x v="0"/>
    <x v="0"/>
    <n v="0"/>
    <n v="0"/>
    <n v="0"/>
    <n v="0"/>
    <n v="0"/>
    <n v="0"/>
    <x v="0"/>
    <n v="0"/>
  </r>
  <r>
    <s v="ti.14214"/>
    <x v="0"/>
    <x v="0"/>
    <x v="3"/>
    <s v="伊勢原市"/>
    <x v="43"/>
    <x v="1"/>
    <x v="1"/>
    <x v="1"/>
    <x v="1"/>
    <n v="269"/>
    <n v="12.77"/>
    <n v="62"/>
    <n v="5.2"/>
    <n v="207"/>
    <n v="22.72"/>
    <x v="0"/>
    <n v="0"/>
  </r>
  <r>
    <s v="ti.14214"/>
    <x v="0"/>
    <x v="0"/>
    <x v="3"/>
    <s v="伊勢原市"/>
    <x v="43"/>
    <x v="2"/>
    <x v="2"/>
    <x v="2"/>
    <x v="2"/>
    <n v="148"/>
    <n v="7.03"/>
    <n v="34"/>
    <n v="2.85"/>
    <n v="114"/>
    <n v="12.51"/>
    <x v="0"/>
    <n v="0"/>
  </r>
  <r>
    <s v="ti.14214"/>
    <x v="0"/>
    <x v="0"/>
    <x v="3"/>
    <s v="伊勢原市"/>
    <x v="43"/>
    <x v="3"/>
    <x v="3"/>
    <x v="3"/>
    <x v="3"/>
    <n v="0"/>
    <n v="0"/>
    <n v="0"/>
    <n v="0"/>
    <n v="0"/>
    <n v="0"/>
    <x v="0"/>
    <n v="0"/>
  </r>
  <r>
    <s v="ti.14214"/>
    <x v="0"/>
    <x v="0"/>
    <x v="3"/>
    <s v="伊勢原市"/>
    <x v="43"/>
    <x v="4"/>
    <x v="4"/>
    <x v="4"/>
    <x v="4"/>
    <n v="16"/>
    <n v="0.76"/>
    <n v="1"/>
    <n v="0.08"/>
    <n v="14"/>
    <n v="1.54"/>
    <x v="14"/>
    <n v="50"/>
  </r>
  <r>
    <s v="ti.14214"/>
    <x v="0"/>
    <x v="0"/>
    <x v="3"/>
    <s v="伊勢原市"/>
    <x v="43"/>
    <x v="5"/>
    <x v="5"/>
    <x v="5"/>
    <x v="5"/>
    <n v="12"/>
    <n v="0.56999999999999995"/>
    <n v="1"/>
    <n v="0.08"/>
    <n v="11"/>
    <n v="1.21"/>
    <x v="0"/>
    <n v="0"/>
  </r>
  <r>
    <s v="ti.14214"/>
    <x v="0"/>
    <x v="0"/>
    <x v="3"/>
    <s v="伊勢原市"/>
    <x v="43"/>
    <x v="6"/>
    <x v="6"/>
    <x v="6"/>
    <x v="6"/>
    <n v="386"/>
    <n v="18.329999999999998"/>
    <n v="160"/>
    <n v="13.41"/>
    <n v="226"/>
    <n v="24.81"/>
    <x v="0"/>
    <n v="0"/>
  </r>
  <r>
    <s v="ti.14214"/>
    <x v="0"/>
    <x v="0"/>
    <x v="3"/>
    <s v="伊勢原市"/>
    <x v="43"/>
    <x v="7"/>
    <x v="7"/>
    <x v="7"/>
    <x v="7"/>
    <n v="11"/>
    <n v="0.52"/>
    <n v="1"/>
    <n v="0.08"/>
    <n v="10"/>
    <n v="1.1000000000000001"/>
    <x v="0"/>
    <n v="0"/>
  </r>
  <r>
    <s v="ti.14214"/>
    <x v="0"/>
    <x v="0"/>
    <x v="3"/>
    <s v="伊勢原市"/>
    <x v="43"/>
    <x v="8"/>
    <x v="8"/>
    <x v="8"/>
    <x v="8"/>
    <n v="547"/>
    <n v="25.97"/>
    <n v="430"/>
    <n v="36.04"/>
    <n v="117"/>
    <n v="12.84"/>
    <x v="0"/>
    <n v="0"/>
  </r>
  <r>
    <s v="ti.14214"/>
    <x v="0"/>
    <x v="0"/>
    <x v="3"/>
    <s v="伊勢原市"/>
    <x v="43"/>
    <x v="9"/>
    <x v="9"/>
    <x v="9"/>
    <x v="9"/>
    <n v="78"/>
    <n v="3.7"/>
    <n v="39"/>
    <n v="3.27"/>
    <n v="39"/>
    <n v="4.28"/>
    <x v="0"/>
    <n v="0"/>
  </r>
  <r>
    <s v="ti.14214"/>
    <x v="0"/>
    <x v="0"/>
    <x v="3"/>
    <s v="伊勢原市"/>
    <x v="43"/>
    <x v="10"/>
    <x v="10"/>
    <x v="10"/>
    <x v="10"/>
    <n v="231"/>
    <n v="10.97"/>
    <n v="186"/>
    <n v="15.59"/>
    <n v="45"/>
    <n v="4.9400000000000004"/>
    <x v="0"/>
    <n v="0"/>
  </r>
  <r>
    <s v="ti.14214"/>
    <x v="0"/>
    <x v="0"/>
    <x v="3"/>
    <s v="伊勢原市"/>
    <x v="43"/>
    <x v="11"/>
    <x v="11"/>
    <x v="11"/>
    <x v="11"/>
    <n v="197"/>
    <n v="9.35"/>
    <n v="148"/>
    <n v="12.41"/>
    <n v="49"/>
    <n v="5.38"/>
    <x v="0"/>
    <n v="0"/>
  </r>
  <r>
    <s v="ti.14214"/>
    <x v="0"/>
    <x v="0"/>
    <x v="3"/>
    <s v="伊勢原市"/>
    <x v="43"/>
    <x v="12"/>
    <x v="12"/>
    <x v="12"/>
    <x v="12"/>
    <n v="64"/>
    <n v="3.04"/>
    <n v="46"/>
    <n v="3.86"/>
    <n v="17"/>
    <n v="1.87"/>
    <x v="14"/>
    <n v="50"/>
  </r>
  <r>
    <s v="ti.14214"/>
    <x v="0"/>
    <x v="0"/>
    <x v="3"/>
    <s v="伊勢原市"/>
    <x v="43"/>
    <x v="13"/>
    <x v="13"/>
    <x v="13"/>
    <x v="13"/>
    <n v="88"/>
    <n v="4.18"/>
    <n v="65"/>
    <n v="5.45"/>
    <n v="23"/>
    <n v="2.52"/>
    <x v="0"/>
    <n v="0"/>
  </r>
  <r>
    <s v="ti.14214"/>
    <x v="0"/>
    <x v="0"/>
    <x v="3"/>
    <s v="伊勢原市"/>
    <x v="43"/>
    <x v="14"/>
    <x v="14"/>
    <x v="14"/>
    <x v="14"/>
    <n v="59"/>
    <n v="2.8"/>
    <n v="20"/>
    <n v="1.68"/>
    <n v="39"/>
    <n v="4.28"/>
    <x v="0"/>
    <n v="0"/>
  </r>
  <r>
    <s v="ti.14215"/>
    <x v="0"/>
    <x v="0"/>
    <x v="3"/>
    <s v="海老名市"/>
    <x v="44"/>
    <x v="0"/>
    <x v="0"/>
    <x v="0"/>
    <x v="0"/>
    <n v="0"/>
    <n v="0"/>
    <n v="0"/>
    <n v="0"/>
    <n v="0"/>
    <n v="0"/>
    <x v="0"/>
    <n v="0"/>
  </r>
  <r>
    <s v="ti.14215"/>
    <x v="0"/>
    <x v="0"/>
    <x v="3"/>
    <s v="海老名市"/>
    <x v="44"/>
    <x v="1"/>
    <x v="1"/>
    <x v="1"/>
    <x v="1"/>
    <n v="337"/>
    <n v="14.3"/>
    <n v="63"/>
    <n v="5.58"/>
    <n v="274"/>
    <n v="22.39"/>
    <x v="0"/>
    <n v="0"/>
  </r>
  <r>
    <s v="ti.14215"/>
    <x v="0"/>
    <x v="0"/>
    <x v="3"/>
    <s v="海老名市"/>
    <x v="44"/>
    <x v="2"/>
    <x v="2"/>
    <x v="2"/>
    <x v="2"/>
    <n v="131"/>
    <n v="5.56"/>
    <n v="32"/>
    <n v="2.83"/>
    <n v="99"/>
    <n v="8.09"/>
    <x v="0"/>
    <n v="0"/>
  </r>
  <r>
    <s v="ti.14215"/>
    <x v="0"/>
    <x v="0"/>
    <x v="3"/>
    <s v="海老名市"/>
    <x v="44"/>
    <x v="3"/>
    <x v="3"/>
    <x v="3"/>
    <x v="3"/>
    <n v="1"/>
    <n v="0.04"/>
    <n v="0"/>
    <n v="0"/>
    <n v="1"/>
    <n v="0.08"/>
    <x v="0"/>
    <n v="0"/>
  </r>
  <r>
    <s v="ti.14215"/>
    <x v="0"/>
    <x v="0"/>
    <x v="3"/>
    <s v="海老名市"/>
    <x v="44"/>
    <x v="4"/>
    <x v="4"/>
    <x v="4"/>
    <x v="4"/>
    <n v="21"/>
    <n v="0.89"/>
    <n v="0"/>
    <n v="0"/>
    <n v="21"/>
    <n v="1.72"/>
    <x v="0"/>
    <n v="0"/>
  </r>
  <r>
    <s v="ti.14215"/>
    <x v="0"/>
    <x v="0"/>
    <x v="3"/>
    <s v="海老名市"/>
    <x v="44"/>
    <x v="5"/>
    <x v="5"/>
    <x v="5"/>
    <x v="5"/>
    <n v="24"/>
    <n v="1.02"/>
    <n v="2"/>
    <n v="0.18"/>
    <n v="22"/>
    <n v="1.8"/>
    <x v="0"/>
    <n v="0"/>
  </r>
  <r>
    <s v="ti.14215"/>
    <x v="0"/>
    <x v="0"/>
    <x v="3"/>
    <s v="海老名市"/>
    <x v="44"/>
    <x v="6"/>
    <x v="6"/>
    <x v="6"/>
    <x v="6"/>
    <n v="483"/>
    <n v="20.49"/>
    <n v="152"/>
    <n v="13.45"/>
    <n v="331"/>
    <n v="27.04"/>
    <x v="0"/>
    <n v="0"/>
  </r>
  <r>
    <s v="ti.14215"/>
    <x v="0"/>
    <x v="0"/>
    <x v="3"/>
    <s v="海老名市"/>
    <x v="44"/>
    <x v="7"/>
    <x v="7"/>
    <x v="7"/>
    <x v="7"/>
    <n v="14"/>
    <n v="0.59"/>
    <n v="4"/>
    <n v="0.35"/>
    <n v="10"/>
    <n v="0.82"/>
    <x v="0"/>
    <n v="0"/>
  </r>
  <r>
    <s v="ti.14215"/>
    <x v="0"/>
    <x v="0"/>
    <x v="3"/>
    <s v="海老名市"/>
    <x v="44"/>
    <x v="8"/>
    <x v="8"/>
    <x v="8"/>
    <x v="8"/>
    <n v="412"/>
    <n v="17.48"/>
    <n v="237"/>
    <n v="20.97"/>
    <n v="175"/>
    <n v="14.3"/>
    <x v="0"/>
    <n v="0"/>
  </r>
  <r>
    <s v="ti.14215"/>
    <x v="0"/>
    <x v="0"/>
    <x v="3"/>
    <s v="海老名市"/>
    <x v="44"/>
    <x v="9"/>
    <x v="9"/>
    <x v="9"/>
    <x v="9"/>
    <n v="112"/>
    <n v="4.75"/>
    <n v="52"/>
    <n v="4.5999999999999996"/>
    <n v="60"/>
    <n v="4.9000000000000004"/>
    <x v="0"/>
    <n v="0"/>
  </r>
  <r>
    <s v="ti.14215"/>
    <x v="0"/>
    <x v="0"/>
    <x v="3"/>
    <s v="海老名市"/>
    <x v="44"/>
    <x v="10"/>
    <x v="10"/>
    <x v="10"/>
    <x v="10"/>
    <n v="249"/>
    <n v="10.56"/>
    <n v="203"/>
    <n v="17.96"/>
    <n v="46"/>
    <n v="3.76"/>
    <x v="0"/>
    <n v="0"/>
  </r>
  <r>
    <s v="ti.14215"/>
    <x v="0"/>
    <x v="0"/>
    <x v="3"/>
    <s v="海老名市"/>
    <x v="44"/>
    <x v="11"/>
    <x v="11"/>
    <x v="11"/>
    <x v="11"/>
    <n v="273"/>
    <n v="11.58"/>
    <n v="197"/>
    <n v="17.43"/>
    <n v="76"/>
    <n v="6.21"/>
    <x v="0"/>
    <n v="0"/>
  </r>
  <r>
    <s v="ti.14215"/>
    <x v="0"/>
    <x v="0"/>
    <x v="3"/>
    <s v="海老名市"/>
    <x v="44"/>
    <x v="12"/>
    <x v="12"/>
    <x v="12"/>
    <x v="12"/>
    <n v="111"/>
    <n v="4.71"/>
    <n v="85"/>
    <n v="7.52"/>
    <n v="26"/>
    <n v="2.12"/>
    <x v="0"/>
    <n v="0"/>
  </r>
  <r>
    <s v="ti.14215"/>
    <x v="0"/>
    <x v="0"/>
    <x v="3"/>
    <s v="海老名市"/>
    <x v="44"/>
    <x v="13"/>
    <x v="13"/>
    <x v="13"/>
    <x v="13"/>
    <n v="114"/>
    <n v="4.84"/>
    <n v="78"/>
    <n v="6.9"/>
    <n v="35"/>
    <n v="2.86"/>
    <x v="14"/>
    <n v="33.33"/>
  </r>
  <r>
    <s v="ti.14215"/>
    <x v="0"/>
    <x v="0"/>
    <x v="3"/>
    <s v="海老名市"/>
    <x v="44"/>
    <x v="14"/>
    <x v="14"/>
    <x v="14"/>
    <x v="14"/>
    <n v="75"/>
    <n v="3.18"/>
    <n v="25"/>
    <n v="2.21"/>
    <n v="48"/>
    <n v="3.92"/>
    <x v="13"/>
    <n v="66.67"/>
  </r>
  <r>
    <s v="ti.14216"/>
    <x v="0"/>
    <x v="0"/>
    <x v="3"/>
    <s v="座間市"/>
    <x v="45"/>
    <x v="0"/>
    <x v="0"/>
    <x v="0"/>
    <x v="0"/>
    <n v="0"/>
    <n v="0"/>
    <n v="0"/>
    <n v="0"/>
    <n v="0"/>
    <n v="0"/>
    <x v="0"/>
    <n v="0"/>
  </r>
  <r>
    <s v="ti.14216"/>
    <x v="0"/>
    <x v="0"/>
    <x v="3"/>
    <s v="座間市"/>
    <x v="45"/>
    <x v="1"/>
    <x v="1"/>
    <x v="1"/>
    <x v="1"/>
    <n v="326"/>
    <n v="16.28"/>
    <n v="77"/>
    <n v="7.29"/>
    <n v="249"/>
    <n v="26.38"/>
    <x v="0"/>
    <n v="0"/>
  </r>
  <r>
    <s v="ti.14216"/>
    <x v="0"/>
    <x v="0"/>
    <x v="3"/>
    <s v="座間市"/>
    <x v="45"/>
    <x v="2"/>
    <x v="2"/>
    <x v="2"/>
    <x v="2"/>
    <n v="131"/>
    <n v="6.54"/>
    <n v="26"/>
    <n v="2.46"/>
    <n v="105"/>
    <n v="11.12"/>
    <x v="0"/>
    <n v="0"/>
  </r>
  <r>
    <s v="ti.14216"/>
    <x v="0"/>
    <x v="0"/>
    <x v="3"/>
    <s v="座間市"/>
    <x v="45"/>
    <x v="3"/>
    <x v="3"/>
    <x v="3"/>
    <x v="3"/>
    <n v="0"/>
    <n v="0"/>
    <n v="0"/>
    <n v="0"/>
    <n v="0"/>
    <n v="0"/>
    <x v="0"/>
    <n v="0"/>
  </r>
  <r>
    <s v="ti.14216"/>
    <x v="0"/>
    <x v="0"/>
    <x v="3"/>
    <s v="座間市"/>
    <x v="45"/>
    <x v="4"/>
    <x v="4"/>
    <x v="4"/>
    <x v="4"/>
    <n v="19"/>
    <n v="0.95"/>
    <n v="2"/>
    <n v="0.19"/>
    <n v="17"/>
    <n v="1.8"/>
    <x v="0"/>
    <n v="0"/>
  </r>
  <r>
    <s v="ti.14216"/>
    <x v="0"/>
    <x v="0"/>
    <x v="3"/>
    <s v="座間市"/>
    <x v="45"/>
    <x v="5"/>
    <x v="5"/>
    <x v="5"/>
    <x v="5"/>
    <n v="22"/>
    <n v="1.1000000000000001"/>
    <n v="3"/>
    <n v="0.28000000000000003"/>
    <n v="19"/>
    <n v="2.0099999999999998"/>
    <x v="0"/>
    <n v="0"/>
  </r>
  <r>
    <s v="ti.14216"/>
    <x v="0"/>
    <x v="0"/>
    <x v="3"/>
    <s v="座間市"/>
    <x v="45"/>
    <x v="6"/>
    <x v="6"/>
    <x v="6"/>
    <x v="6"/>
    <n v="363"/>
    <n v="18.13"/>
    <n v="160"/>
    <n v="15.15"/>
    <n v="203"/>
    <n v="21.5"/>
    <x v="0"/>
    <n v="0"/>
  </r>
  <r>
    <s v="ti.14216"/>
    <x v="0"/>
    <x v="0"/>
    <x v="3"/>
    <s v="座間市"/>
    <x v="45"/>
    <x v="7"/>
    <x v="7"/>
    <x v="7"/>
    <x v="7"/>
    <n v="10"/>
    <n v="0.5"/>
    <n v="1"/>
    <n v="0.09"/>
    <n v="9"/>
    <n v="0.95"/>
    <x v="0"/>
    <n v="0"/>
  </r>
  <r>
    <s v="ti.14216"/>
    <x v="0"/>
    <x v="0"/>
    <x v="3"/>
    <s v="座間市"/>
    <x v="45"/>
    <x v="8"/>
    <x v="8"/>
    <x v="8"/>
    <x v="8"/>
    <n v="343"/>
    <n v="17.13"/>
    <n v="223"/>
    <n v="21.12"/>
    <n v="119"/>
    <n v="12.61"/>
    <x v="14"/>
    <n v="50"/>
  </r>
  <r>
    <s v="ti.14216"/>
    <x v="0"/>
    <x v="0"/>
    <x v="3"/>
    <s v="座間市"/>
    <x v="45"/>
    <x v="9"/>
    <x v="9"/>
    <x v="9"/>
    <x v="9"/>
    <n v="87"/>
    <n v="4.3499999999999996"/>
    <n v="41"/>
    <n v="3.88"/>
    <n v="46"/>
    <n v="4.87"/>
    <x v="0"/>
    <n v="0"/>
  </r>
  <r>
    <s v="ti.14216"/>
    <x v="0"/>
    <x v="0"/>
    <x v="3"/>
    <s v="座間市"/>
    <x v="45"/>
    <x v="10"/>
    <x v="10"/>
    <x v="10"/>
    <x v="10"/>
    <n v="235"/>
    <n v="11.74"/>
    <n v="202"/>
    <n v="19.13"/>
    <n v="32"/>
    <n v="3.39"/>
    <x v="14"/>
    <n v="50"/>
  </r>
  <r>
    <s v="ti.14216"/>
    <x v="0"/>
    <x v="0"/>
    <x v="3"/>
    <s v="座間市"/>
    <x v="45"/>
    <x v="11"/>
    <x v="11"/>
    <x v="11"/>
    <x v="11"/>
    <n v="250"/>
    <n v="12.49"/>
    <n v="196"/>
    <n v="18.559999999999999"/>
    <n v="54"/>
    <n v="5.72"/>
    <x v="0"/>
    <n v="0"/>
  </r>
  <r>
    <s v="ti.14216"/>
    <x v="0"/>
    <x v="0"/>
    <x v="3"/>
    <s v="座間市"/>
    <x v="45"/>
    <x v="12"/>
    <x v="12"/>
    <x v="12"/>
    <x v="12"/>
    <n v="71"/>
    <n v="3.55"/>
    <n v="53"/>
    <n v="5.0199999999999996"/>
    <n v="18"/>
    <n v="1.91"/>
    <x v="0"/>
    <n v="0"/>
  </r>
  <r>
    <s v="ti.14216"/>
    <x v="0"/>
    <x v="0"/>
    <x v="3"/>
    <s v="座間市"/>
    <x v="45"/>
    <x v="13"/>
    <x v="13"/>
    <x v="13"/>
    <x v="13"/>
    <n v="85"/>
    <n v="4.25"/>
    <n v="59"/>
    <n v="5.59"/>
    <n v="26"/>
    <n v="2.75"/>
    <x v="0"/>
    <n v="0"/>
  </r>
  <r>
    <s v="ti.14216"/>
    <x v="0"/>
    <x v="0"/>
    <x v="3"/>
    <s v="座間市"/>
    <x v="45"/>
    <x v="14"/>
    <x v="14"/>
    <x v="14"/>
    <x v="14"/>
    <n v="60"/>
    <n v="3"/>
    <n v="13"/>
    <n v="1.23"/>
    <n v="47"/>
    <n v="4.9800000000000004"/>
    <x v="0"/>
    <n v="0"/>
  </r>
  <r>
    <s v="ti.14217"/>
    <x v="0"/>
    <x v="0"/>
    <x v="3"/>
    <s v="南足柄市"/>
    <x v="46"/>
    <x v="0"/>
    <x v="0"/>
    <x v="0"/>
    <x v="0"/>
    <n v="0"/>
    <n v="0"/>
    <n v="0"/>
    <n v="0"/>
    <n v="0"/>
    <n v="0"/>
    <x v="0"/>
    <n v="0"/>
  </r>
  <r>
    <s v="ti.14217"/>
    <x v="0"/>
    <x v="0"/>
    <x v="3"/>
    <s v="南足柄市"/>
    <x v="46"/>
    <x v="1"/>
    <x v="1"/>
    <x v="1"/>
    <x v="1"/>
    <n v="202"/>
    <n v="21.42"/>
    <n v="63"/>
    <n v="10.73"/>
    <n v="139"/>
    <n v="39.15"/>
    <x v="0"/>
    <n v="0"/>
  </r>
  <r>
    <s v="ti.14217"/>
    <x v="0"/>
    <x v="0"/>
    <x v="3"/>
    <s v="南足柄市"/>
    <x v="46"/>
    <x v="2"/>
    <x v="2"/>
    <x v="2"/>
    <x v="2"/>
    <n v="66"/>
    <n v="7"/>
    <n v="27"/>
    <n v="4.5999999999999996"/>
    <n v="39"/>
    <n v="10.99"/>
    <x v="0"/>
    <n v="0"/>
  </r>
  <r>
    <s v="ti.14217"/>
    <x v="0"/>
    <x v="0"/>
    <x v="3"/>
    <s v="南足柄市"/>
    <x v="46"/>
    <x v="3"/>
    <x v="3"/>
    <x v="3"/>
    <x v="3"/>
    <n v="0"/>
    <n v="0"/>
    <n v="0"/>
    <n v="0"/>
    <n v="0"/>
    <n v="0"/>
    <x v="0"/>
    <n v="0"/>
  </r>
  <r>
    <s v="ti.14217"/>
    <x v="0"/>
    <x v="0"/>
    <x v="3"/>
    <s v="南足柄市"/>
    <x v="46"/>
    <x v="4"/>
    <x v="4"/>
    <x v="4"/>
    <x v="4"/>
    <n v="3"/>
    <n v="0.32"/>
    <n v="0"/>
    <n v="0"/>
    <n v="3"/>
    <n v="0.85"/>
    <x v="0"/>
    <n v="0"/>
  </r>
  <r>
    <s v="ti.14217"/>
    <x v="0"/>
    <x v="0"/>
    <x v="3"/>
    <s v="南足柄市"/>
    <x v="46"/>
    <x v="5"/>
    <x v="5"/>
    <x v="5"/>
    <x v="5"/>
    <n v="2"/>
    <n v="0.21"/>
    <n v="2"/>
    <n v="0.34"/>
    <n v="0"/>
    <n v="0"/>
    <x v="0"/>
    <n v="0"/>
  </r>
  <r>
    <s v="ti.14217"/>
    <x v="0"/>
    <x v="0"/>
    <x v="3"/>
    <s v="南足柄市"/>
    <x v="46"/>
    <x v="6"/>
    <x v="6"/>
    <x v="6"/>
    <x v="6"/>
    <n v="152"/>
    <n v="16.12"/>
    <n v="70"/>
    <n v="11.93"/>
    <n v="82"/>
    <n v="23.1"/>
    <x v="0"/>
    <n v="0"/>
  </r>
  <r>
    <s v="ti.14217"/>
    <x v="0"/>
    <x v="0"/>
    <x v="3"/>
    <s v="南足柄市"/>
    <x v="46"/>
    <x v="7"/>
    <x v="7"/>
    <x v="7"/>
    <x v="7"/>
    <n v="4"/>
    <n v="0.42"/>
    <n v="1"/>
    <n v="0.17"/>
    <n v="3"/>
    <n v="0.85"/>
    <x v="0"/>
    <n v="0"/>
  </r>
  <r>
    <s v="ti.14217"/>
    <x v="0"/>
    <x v="0"/>
    <x v="3"/>
    <s v="南足柄市"/>
    <x v="46"/>
    <x v="8"/>
    <x v="8"/>
    <x v="8"/>
    <x v="8"/>
    <n v="209"/>
    <n v="22.16"/>
    <n v="184"/>
    <n v="31.35"/>
    <n v="25"/>
    <n v="7.04"/>
    <x v="0"/>
    <n v="0"/>
  </r>
  <r>
    <s v="ti.14217"/>
    <x v="0"/>
    <x v="0"/>
    <x v="3"/>
    <s v="南足柄市"/>
    <x v="46"/>
    <x v="9"/>
    <x v="9"/>
    <x v="9"/>
    <x v="9"/>
    <n v="28"/>
    <n v="2.97"/>
    <n v="14"/>
    <n v="2.39"/>
    <n v="14"/>
    <n v="3.94"/>
    <x v="0"/>
    <n v="0"/>
  </r>
  <r>
    <s v="ti.14217"/>
    <x v="0"/>
    <x v="0"/>
    <x v="3"/>
    <s v="南足柄市"/>
    <x v="46"/>
    <x v="10"/>
    <x v="10"/>
    <x v="10"/>
    <x v="10"/>
    <n v="86"/>
    <n v="9.1199999999999992"/>
    <n v="78"/>
    <n v="13.29"/>
    <n v="8"/>
    <n v="2.25"/>
    <x v="0"/>
    <n v="0"/>
  </r>
  <r>
    <s v="ti.14217"/>
    <x v="0"/>
    <x v="0"/>
    <x v="3"/>
    <s v="南足柄市"/>
    <x v="46"/>
    <x v="11"/>
    <x v="11"/>
    <x v="11"/>
    <x v="11"/>
    <n v="106"/>
    <n v="11.24"/>
    <n v="95"/>
    <n v="16.18"/>
    <n v="11"/>
    <n v="3.1"/>
    <x v="0"/>
    <n v="0"/>
  </r>
  <r>
    <s v="ti.14217"/>
    <x v="0"/>
    <x v="0"/>
    <x v="3"/>
    <s v="南足柄市"/>
    <x v="46"/>
    <x v="12"/>
    <x v="12"/>
    <x v="12"/>
    <x v="12"/>
    <n v="36"/>
    <n v="3.82"/>
    <n v="24"/>
    <n v="4.09"/>
    <n v="12"/>
    <n v="3.38"/>
    <x v="0"/>
    <n v="0"/>
  </r>
  <r>
    <s v="ti.14217"/>
    <x v="0"/>
    <x v="0"/>
    <x v="3"/>
    <s v="南足柄市"/>
    <x v="46"/>
    <x v="13"/>
    <x v="13"/>
    <x v="13"/>
    <x v="13"/>
    <n v="34"/>
    <n v="3.61"/>
    <n v="24"/>
    <n v="4.09"/>
    <n v="9"/>
    <n v="2.54"/>
    <x v="14"/>
    <n v="100"/>
  </r>
  <r>
    <s v="ti.14217"/>
    <x v="0"/>
    <x v="0"/>
    <x v="3"/>
    <s v="南足柄市"/>
    <x v="46"/>
    <x v="14"/>
    <x v="14"/>
    <x v="14"/>
    <x v="14"/>
    <n v="15"/>
    <n v="1.59"/>
    <n v="5"/>
    <n v="0.85"/>
    <n v="10"/>
    <n v="2.82"/>
    <x v="0"/>
    <n v="0"/>
  </r>
  <r>
    <s v="ti.14218"/>
    <x v="0"/>
    <x v="0"/>
    <x v="3"/>
    <s v="綾瀬市"/>
    <x v="47"/>
    <x v="0"/>
    <x v="0"/>
    <x v="0"/>
    <x v="0"/>
    <n v="0"/>
    <n v="0"/>
    <n v="0"/>
    <n v="0"/>
    <n v="0"/>
    <n v="0"/>
    <x v="0"/>
    <n v="0"/>
  </r>
  <r>
    <s v="ti.14218"/>
    <x v="0"/>
    <x v="0"/>
    <x v="3"/>
    <s v="綾瀬市"/>
    <x v="47"/>
    <x v="1"/>
    <x v="1"/>
    <x v="1"/>
    <x v="1"/>
    <n v="318"/>
    <n v="17.41"/>
    <n v="68"/>
    <n v="7.9"/>
    <n v="250"/>
    <n v="25.91"/>
    <x v="0"/>
    <n v="0"/>
  </r>
  <r>
    <s v="ti.14218"/>
    <x v="0"/>
    <x v="0"/>
    <x v="3"/>
    <s v="綾瀬市"/>
    <x v="47"/>
    <x v="2"/>
    <x v="2"/>
    <x v="2"/>
    <x v="2"/>
    <n v="379"/>
    <n v="20.74"/>
    <n v="65"/>
    <n v="7.55"/>
    <n v="314"/>
    <n v="32.54"/>
    <x v="0"/>
    <n v="0"/>
  </r>
  <r>
    <s v="ti.14218"/>
    <x v="0"/>
    <x v="0"/>
    <x v="3"/>
    <s v="綾瀬市"/>
    <x v="47"/>
    <x v="3"/>
    <x v="3"/>
    <x v="3"/>
    <x v="3"/>
    <n v="0"/>
    <n v="0"/>
    <n v="0"/>
    <n v="0"/>
    <n v="0"/>
    <n v="0"/>
    <x v="0"/>
    <n v="0"/>
  </r>
  <r>
    <s v="ti.14218"/>
    <x v="0"/>
    <x v="0"/>
    <x v="3"/>
    <s v="綾瀬市"/>
    <x v="47"/>
    <x v="4"/>
    <x v="4"/>
    <x v="4"/>
    <x v="4"/>
    <n v="6"/>
    <n v="0.33"/>
    <n v="1"/>
    <n v="0.12"/>
    <n v="5"/>
    <n v="0.52"/>
    <x v="0"/>
    <n v="0"/>
  </r>
  <r>
    <s v="ti.14218"/>
    <x v="0"/>
    <x v="0"/>
    <x v="3"/>
    <s v="綾瀬市"/>
    <x v="47"/>
    <x v="5"/>
    <x v="5"/>
    <x v="5"/>
    <x v="5"/>
    <n v="19"/>
    <n v="1.04"/>
    <n v="3"/>
    <n v="0.35"/>
    <n v="16"/>
    <n v="1.66"/>
    <x v="0"/>
    <n v="0"/>
  </r>
  <r>
    <s v="ti.14218"/>
    <x v="0"/>
    <x v="0"/>
    <x v="3"/>
    <s v="綾瀬市"/>
    <x v="47"/>
    <x v="6"/>
    <x v="6"/>
    <x v="6"/>
    <x v="6"/>
    <n v="228"/>
    <n v="12.48"/>
    <n v="85"/>
    <n v="9.8699999999999992"/>
    <n v="143"/>
    <n v="14.82"/>
    <x v="0"/>
    <n v="0"/>
  </r>
  <r>
    <s v="ti.14218"/>
    <x v="0"/>
    <x v="0"/>
    <x v="3"/>
    <s v="綾瀬市"/>
    <x v="47"/>
    <x v="7"/>
    <x v="7"/>
    <x v="7"/>
    <x v="7"/>
    <n v="4"/>
    <n v="0.22"/>
    <n v="0"/>
    <n v="0"/>
    <n v="4"/>
    <n v="0.41"/>
    <x v="0"/>
    <n v="0"/>
  </r>
  <r>
    <s v="ti.14218"/>
    <x v="0"/>
    <x v="0"/>
    <x v="3"/>
    <s v="綾瀬市"/>
    <x v="47"/>
    <x v="8"/>
    <x v="8"/>
    <x v="8"/>
    <x v="8"/>
    <n v="402"/>
    <n v="22"/>
    <n v="310"/>
    <n v="36"/>
    <n v="92"/>
    <n v="9.5299999999999994"/>
    <x v="0"/>
    <n v="0"/>
  </r>
  <r>
    <s v="ti.14218"/>
    <x v="0"/>
    <x v="0"/>
    <x v="3"/>
    <s v="綾瀬市"/>
    <x v="47"/>
    <x v="9"/>
    <x v="9"/>
    <x v="9"/>
    <x v="9"/>
    <n v="53"/>
    <n v="2.9"/>
    <n v="21"/>
    <n v="2.44"/>
    <n v="32"/>
    <n v="3.32"/>
    <x v="0"/>
    <n v="0"/>
  </r>
  <r>
    <s v="ti.14218"/>
    <x v="0"/>
    <x v="0"/>
    <x v="3"/>
    <s v="綾瀬市"/>
    <x v="47"/>
    <x v="10"/>
    <x v="10"/>
    <x v="10"/>
    <x v="10"/>
    <n v="107"/>
    <n v="5.86"/>
    <n v="85"/>
    <n v="9.8699999999999992"/>
    <n v="22"/>
    <n v="2.2799999999999998"/>
    <x v="0"/>
    <n v="0"/>
  </r>
  <r>
    <s v="ti.14218"/>
    <x v="0"/>
    <x v="0"/>
    <x v="3"/>
    <s v="綾瀬市"/>
    <x v="47"/>
    <x v="11"/>
    <x v="11"/>
    <x v="11"/>
    <x v="11"/>
    <n v="149"/>
    <n v="8.16"/>
    <n v="127"/>
    <n v="14.75"/>
    <n v="22"/>
    <n v="2.2799999999999998"/>
    <x v="0"/>
    <n v="0"/>
  </r>
  <r>
    <s v="ti.14218"/>
    <x v="0"/>
    <x v="0"/>
    <x v="3"/>
    <s v="綾瀬市"/>
    <x v="47"/>
    <x v="12"/>
    <x v="12"/>
    <x v="12"/>
    <x v="12"/>
    <n v="53"/>
    <n v="2.9"/>
    <n v="45"/>
    <n v="5.23"/>
    <n v="8"/>
    <n v="0.83"/>
    <x v="0"/>
    <n v="0"/>
  </r>
  <r>
    <s v="ti.14218"/>
    <x v="0"/>
    <x v="0"/>
    <x v="3"/>
    <s v="綾瀬市"/>
    <x v="47"/>
    <x v="13"/>
    <x v="13"/>
    <x v="13"/>
    <x v="13"/>
    <n v="44"/>
    <n v="2.41"/>
    <n v="25"/>
    <n v="2.9"/>
    <n v="18"/>
    <n v="1.87"/>
    <x v="14"/>
    <n v="100"/>
  </r>
  <r>
    <s v="ti.14218"/>
    <x v="0"/>
    <x v="0"/>
    <x v="3"/>
    <s v="綾瀬市"/>
    <x v="47"/>
    <x v="14"/>
    <x v="14"/>
    <x v="14"/>
    <x v="14"/>
    <n v="65"/>
    <n v="3.56"/>
    <n v="26"/>
    <n v="3.02"/>
    <n v="39"/>
    <n v="4.04"/>
    <x v="0"/>
    <n v="0"/>
  </r>
  <r>
    <s v="ti.14301"/>
    <x v="0"/>
    <x v="0"/>
    <x v="4"/>
    <s v="三浦郡葉山町"/>
    <x v="48"/>
    <x v="0"/>
    <x v="0"/>
    <x v="0"/>
    <x v="0"/>
    <n v="0"/>
    <n v="0"/>
    <n v="0"/>
    <n v="0"/>
    <n v="0"/>
    <n v="0"/>
    <x v="0"/>
    <n v="0"/>
  </r>
  <r>
    <s v="ti.14301"/>
    <x v="0"/>
    <x v="0"/>
    <x v="4"/>
    <s v="三浦郡葉山町"/>
    <x v="48"/>
    <x v="1"/>
    <x v="1"/>
    <x v="1"/>
    <x v="1"/>
    <n v="105"/>
    <n v="17.13"/>
    <n v="39"/>
    <n v="14.39"/>
    <n v="66"/>
    <n v="19.53"/>
    <x v="0"/>
    <n v="0"/>
  </r>
  <r>
    <s v="ti.14301"/>
    <x v="0"/>
    <x v="0"/>
    <x v="4"/>
    <s v="三浦郡葉山町"/>
    <x v="48"/>
    <x v="2"/>
    <x v="2"/>
    <x v="2"/>
    <x v="2"/>
    <n v="18"/>
    <n v="2.94"/>
    <n v="6"/>
    <n v="2.21"/>
    <n v="12"/>
    <n v="3.55"/>
    <x v="0"/>
    <n v="0"/>
  </r>
  <r>
    <s v="ti.14301"/>
    <x v="0"/>
    <x v="0"/>
    <x v="4"/>
    <s v="三浦郡葉山町"/>
    <x v="48"/>
    <x v="3"/>
    <x v="3"/>
    <x v="3"/>
    <x v="3"/>
    <n v="0"/>
    <n v="0"/>
    <n v="0"/>
    <n v="0"/>
    <n v="0"/>
    <n v="0"/>
    <x v="0"/>
    <n v="0"/>
  </r>
  <r>
    <s v="ti.14301"/>
    <x v="0"/>
    <x v="0"/>
    <x v="4"/>
    <s v="三浦郡葉山町"/>
    <x v="48"/>
    <x v="4"/>
    <x v="4"/>
    <x v="4"/>
    <x v="4"/>
    <n v="17"/>
    <n v="2.77"/>
    <n v="1"/>
    <n v="0.37"/>
    <n v="16"/>
    <n v="4.7300000000000004"/>
    <x v="0"/>
    <n v="0"/>
  </r>
  <r>
    <s v="ti.14301"/>
    <x v="0"/>
    <x v="0"/>
    <x v="4"/>
    <s v="三浦郡葉山町"/>
    <x v="48"/>
    <x v="5"/>
    <x v="5"/>
    <x v="5"/>
    <x v="5"/>
    <n v="4"/>
    <n v="0.65"/>
    <n v="0"/>
    <n v="0"/>
    <n v="4"/>
    <n v="1.18"/>
    <x v="0"/>
    <n v="0"/>
  </r>
  <r>
    <s v="ti.14301"/>
    <x v="0"/>
    <x v="0"/>
    <x v="4"/>
    <s v="三浦郡葉山町"/>
    <x v="48"/>
    <x v="6"/>
    <x v="6"/>
    <x v="6"/>
    <x v="6"/>
    <n v="168"/>
    <n v="27.41"/>
    <n v="81"/>
    <n v="29.89"/>
    <n v="87"/>
    <n v="25.74"/>
    <x v="0"/>
    <n v="0"/>
  </r>
  <r>
    <s v="ti.14301"/>
    <x v="0"/>
    <x v="0"/>
    <x v="4"/>
    <s v="三浦郡葉山町"/>
    <x v="48"/>
    <x v="7"/>
    <x v="7"/>
    <x v="7"/>
    <x v="7"/>
    <n v="1"/>
    <n v="0.16"/>
    <n v="1"/>
    <n v="0.37"/>
    <n v="0"/>
    <n v="0"/>
    <x v="0"/>
    <n v="0"/>
  </r>
  <r>
    <s v="ti.14301"/>
    <x v="0"/>
    <x v="0"/>
    <x v="4"/>
    <s v="三浦郡葉山町"/>
    <x v="48"/>
    <x v="8"/>
    <x v="8"/>
    <x v="8"/>
    <x v="8"/>
    <n v="56"/>
    <n v="9.14"/>
    <n v="9"/>
    <n v="3.32"/>
    <n v="46"/>
    <n v="13.61"/>
    <x v="14"/>
    <n v="25"/>
  </r>
  <r>
    <s v="ti.14301"/>
    <x v="0"/>
    <x v="0"/>
    <x v="4"/>
    <s v="三浦郡葉山町"/>
    <x v="48"/>
    <x v="9"/>
    <x v="9"/>
    <x v="9"/>
    <x v="9"/>
    <n v="45"/>
    <n v="7.34"/>
    <n v="17"/>
    <n v="6.27"/>
    <n v="28"/>
    <n v="8.2799999999999994"/>
    <x v="0"/>
    <n v="0"/>
  </r>
  <r>
    <s v="ti.14301"/>
    <x v="0"/>
    <x v="0"/>
    <x v="4"/>
    <s v="三浦郡葉山町"/>
    <x v="48"/>
    <x v="10"/>
    <x v="10"/>
    <x v="10"/>
    <x v="10"/>
    <n v="71"/>
    <n v="11.58"/>
    <n v="44"/>
    <n v="16.239999999999998"/>
    <n v="27"/>
    <n v="7.99"/>
    <x v="0"/>
    <n v="0"/>
  </r>
  <r>
    <s v="ti.14301"/>
    <x v="0"/>
    <x v="0"/>
    <x v="4"/>
    <s v="三浦郡葉山町"/>
    <x v="48"/>
    <x v="11"/>
    <x v="11"/>
    <x v="11"/>
    <x v="11"/>
    <n v="69"/>
    <n v="11.26"/>
    <n v="47"/>
    <n v="17.34"/>
    <n v="22"/>
    <n v="6.51"/>
    <x v="0"/>
    <n v="0"/>
  </r>
  <r>
    <s v="ti.14301"/>
    <x v="0"/>
    <x v="0"/>
    <x v="4"/>
    <s v="三浦郡葉山町"/>
    <x v="48"/>
    <x v="12"/>
    <x v="12"/>
    <x v="12"/>
    <x v="12"/>
    <n v="17"/>
    <n v="2.77"/>
    <n v="11"/>
    <n v="4.0599999999999996"/>
    <n v="6"/>
    <n v="1.78"/>
    <x v="0"/>
    <n v="0"/>
  </r>
  <r>
    <s v="ti.14301"/>
    <x v="0"/>
    <x v="0"/>
    <x v="4"/>
    <s v="三浦郡葉山町"/>
    <x v="48"/>
    <x v="13"/>
    <x v="13"/>
    <x v="13"/>
    <x v="13"/>
    <n v="22"/>
    <n v="3.59"/>
    <n v="11"/>
    <n v="4.0599999999999996"/>
    <n v="10"/>
    <n v="2.96"/>
    <x v="14"/>
    <n v="25"/>
  </r>
  <r>
    <s v="ti.14301"/>
    <x v="0"/>
    <x v="0"/>
    <x v="4"/>
    <s v="三浦郡葉山町"/>
    <x v="48"/>
    <x v="14"/>
    <x v="14"/>
    <x v="14"/>
    <x v="14"/>
    <n v="20"/>
    <n v="3.26"/>
    <n v="4"/>
    <n v="1.48"/>
    <n v="14"/>
    <n v="4.1399999999999997"/>
    <x v="13"/>
    <n v="50"/>
  </r>
  <r>
    <s v="ti.14321"/>
    <x v="0"/>
    <x v="0"/>
    <x v="4"/>
    <s v="高座郡寒川町"/>
    <x v="49"/>
    <x v="0"/>
    <x v="0"/>
    <x v="0"/>
    <x v="0"/>
    <n v="0"/>
    <n v="0"/>
    <n v="0"/>
    <n v="0"/>
    <n v="0"/>
    <n v="0"/>
    <x v="0"/>
    <n v="0"/>
  </r>
  <r>
    <s v="ti.14321"/>
    <x v="0"/>
    <x v="0"/>
    <x v="4"/>
    <s v="高座郡寒川町"/>
    <x v="49"/>
    <x v="1"/>
    <x v="1"/>
    <x v="1"/>
    <x v="1"/>
    <n v="190"/>
    <n v="17.27"/>
    <n v="43"/>
    <n v="7.6"/>
    <n v="147"/>
    <n v="27.58"/>
    <x v="0"/>
    <n v="0"/>
  </r>
  <r>
    <s v="ti.14321"/>
    <x v="0"/>
    <x v="0"/>
    <x v="4"/>
    <s v="高座郡寒川町"/>
    <x v="49"/>
    <x v="2"/>
    <x v="2"/>
    <x v="2"/>
    <x v="2"/>
    <n v="139"/>
    <n v="12.64"/>
    <n v="28"/>
    <n v="4.95"/>
    <n v="111"/>
    <n v="20.83"/>
    <x v="0"/>
    <n v="0"/>
  </r>
  <r>
    <s v="ti.14321"/>
    <x v="0"/>
    <x v="0"/>
    <x v="4"/>
    <s v="高座郡寒川町"/>
    <x v="49"/>
    <x v="3"/>
    <x v="3"/>
    <x v="3"/>
    <x v="3"/>
    <n v="0"/>
    <n v="0"/>
    <n v="0"/>
    <n v="0"/>
    <n v="0"/>
    <n v="0"/>
    <x v="0"/>
    <n v="0"/>
  </r>
  <r>
    <s v="ti.14321"/>
    <x v="0"/>
    <x v="0"/>
    <x v="4"/>
    <s v="高座郡寒川町"/>
    <x v="49"/>
    <x v="4"/>
    <x v="4"/>
    <x v="4"/>
    <x v="4"/>
    <n v="2"/>
    <n v="0.18"/>
    <n v="0"/>
    <n v="0"/>
    <n v="2"/>
    <n v="0.38"/>
    <x v="0"/>
    <n v="0"/>
  </r>
  <r>
    <s v="ti.14321"/>
    <x v="0"/>
    <x v="0"/>
    <x v="4"/>
    <s v="高座郡寒川町"/>
    <x v="49"/>
    <x v="5"/>
    <x v="5"/>
    <x v="5"/>
    <x v="5"/>
    <n v="22"/>
    <n v="2"/>
    <n v="8"/>
    <n v="1.41"/>
    <n v="14"/>
    <n v="2.63"/>
    <x v="0"/>
    <n v="0"/>
  </r>
  <r>
    <s v="ti.14321"/>
    <x v="0"/>
    <x v="0"/>
    <x v="4"/>
    <s v="高座郡寒川町"/>
    <x v="49"/>
    <x v="6"/>
    <x v="6"/>
    <x v="6"/>
    <x v="6"/>
    <n v="203"/>
    <n v="18.45"/>
    <n v="103"/>
    <n v="18.2"/>
    <n v="100"/>
    <n v="18.760000000000002"/>
    <x v="0"/>
    <n v="0"/>
  </r>
  <r>
    <s v="ti.14321"/>
    <x v="0"/>
    <x v="0"/>
    <x v="4"/>
    <s v="高座郡寒川町"/>
    <x v="49"/>
    <x v="7"/>
    <x v="7"/>
    <x v="7"/>
    <x v="7"/>
    <n v="0"/>
    <n v="0"/>
    <n v="0"/>
    <n v="0"/>
    <n v="0"/>
    <n v="0"/>
    <x v="0"/>
    <n v="0"/>
  </r>
  <r>
    <s v="ti.14321"/>
    <x v="0"/>
    <x v="0"/>
    <x v="4"/>
    <s v="高座郡寒川町"/>
    <x v="49"/>
    <x v="8"/>
    <x v="8"/>
    <x v="8"/>
    <x v="8"/>
    <n v="176"/>
    <n v="16"/>
    <n v="108"/>
    <n v="19.079999999999998"/>
    <n v="68"/>
    <n v="12.76"/>
    <x v="0"/>
    <n v="0"/>
  </r>
  <r>
    <s v="ti.14321"/>
    <x v="0"/>
    <x v="0"/>
    <x v="4"/>
    <s v="高座郡寒川町"/>
    <x v="49"/>
    <x v="9"/>
    <x v="9"/>
    <x v="9"/>
    <x v="9"/>
    <n v="28"/>
    <n v="2.5499999999999998"/>
    <n v="14"/>
    <n v="2.4700000000000002"/>
    <n v="14"/>
    <n v="2.63"/>
    <x v="0"/>
    <n v="0"/>
  </r>
  <r>
    <s v="ti.14321"/>
    <x v="0"/>
    <x v="0"/>
    <x v="4"/>
    <s v="高座郡寒川町"/>
    <x v="49"/>
    <x v="10"/>
    <x v="10"/>
    <x v="10"/>
    <x v="10"/>
    <n v="106"/>
    <n v="9.64"/>
    <n v="89"/>
    <n v="15.72"/>
    <n v="17"/>
    <n v="3.19"/>
    <x v="0"/>
    <n v="0"/>
  </r>
  <r>
    <s v="ti.14321"/>
    <x v="0"/>
    <x v="0"/>
    <x v="4"/>
    <s v="高座郡寒川町"/>
    <x v="49"/>
    <x v="11"/>
    <x v="11"/>
    <x v="11"/>
    <x v="11"/>
    <n v="104"/>
    <n v="9.4499999999999993"/>
    <n v="84"/>
    <n v="14.84"/>
    <n v="20"/>
    <n v="3.75"/>
    <x v="0"/>
    <n v="0"/>
  </r>
  <r>
    <s v="ti.14321"/>
    <x v="0"/>
    <x v="0"/>
    <x v="4"/>
    <s v="高座郡寒川町"/>
    <x v="49"/>
    <x v="12"/>
    <x v="12"/>
    <x v="12"/>
    <x v="12"/>
    <n v="47"/>
    <n v="4.2699999999999996"/>
    <n v="38"/>
    <n v="6.71"/>
    <n v="9"/>
    <n v="1.69"/>
    <x v="0"/>
    <n v="0"/>
  </r>
  <r>
    <s v="ti.14321"/>
    <x v="0"/>
    <x v="0"/>
    <x v="4"/>
    <s v="高座郡寒川町"/>
    <x v="49"/>
    <x v="13"/>
    <x v="13"/>
    <x v="13"/>
    <x v="13"/>
    <n v="39"/>
    <n v="3.55"/>
    <n v="33"/>
    <n v="5.83"/>
    <n v="5"/>
    <n v="0.94"/>
    <x v="14"/>
    <n v="100"/>
  </r>
  <r>
    <s v="ti.14321"/>
    <x v="0"/>
    <x v="0"/>
    <x v="4"/>
    <s v="高座郡寒川町"/>
    <x v="49"/>
    <x v="14"/>
    <x v="14"/>
    <x v="14"/>
    <x v="14"/>
    <n v="44"/>
    <n v="4"/>
    <n v="18"/>
    <n v="3.18"/>
    <n v="26"/>
    <n v="4.88"/>
    <x v="0"/>
    <n v="0"/>
  </r>
  <r>
    <s v="ti.14341"/>
    <x v="0"/>
    <x v="0"/>
    <x v="4"/>
    <s v="中郡大磯町"/>
    <x v="50"/>
    <x v="0"/>
    <x v="0"/>
    <x v="0"/>
    <x v="0"/>
    <n v="0"/>
    <n v="0"/>
    <n v="0"/>
    <n v="0"/>
    <n v="0"/>
    <n v="0"/>
    <x v="0"/>
    <n v="0"/>
  </r>
  <r>
    <s v="ti.14341"/>
    <x v="0"/>
    <x v="0"/>
    <x v="4"/>
    <s v="中郡大磯町"/>
    <x v="50"/>
    <x v="1"/>
    <x v="1"/>
    <x v="1"/>
    <x v="1"/>
    <n v="77"/>
    <n v="10.09"/>
    <n v="31"/>
    <n v="6.19"/>
    <n v="46"/>
    <n v="17.690000000000001"/>
    <x v="0"/>
    <n v="0"/>
  </r>
  <r>
    <s v="ti.14341"/>
    <x v="0"/>
    <x v="0"/>
    <x v="4"/>
    <s v="中郡大磯町"/>
    <x v="50"/>
    <x v="2"/>
    <x v="2"/>
    <x v="2"/>
    <x v="2"/>
    <n v="38"/>
    <n v="4.9800000000000004"/>
    <n v="8"/>
    <n v="1.6"/>
    <n v="30"/>
    <n v="11.54"/>
    <x v="0"/>
    <n v="0"/>
  </r>
  <r>
    <s v="ti.14341"/>
    <x v="0"/>
    <x v="0"/>
    <x v="4"/>
    <s v="中郡大磯町"/>
    <x v="50"/>
    <x v="3"/>
    <x v="3"/>
    <x v="3"/>
    <x v="3"/>
    <n v="1"/>
    <n v="0.13"/>
    <n v="0"/>
    <n v="0"/>
    <n v="1"/>
    <n v="0.38"/>
    <x v="0"/>
    <n v="0"/>
  </r>
  <r>
    <s v="ti.14341"/>
    <x v="0"/>
    <x v="0"/>
    <x v="4"/>
    <s v="中郡大磯町"/>
    <x v="50"/>
    <x v="4"/>
    <x v="4"/>
    <x v="4"/>
    <x v="4"/>
    <n v="12"/>
    <n v="1.57"/>
    <n v="2"/>
    <n v="0.4"/>
    <n v="10"/>
    <n v="3.85"/>
    <x v="0"/>
    <n v="0"/>
  </r>
  <r>
    <s v="ti.14341"/>
    <x v="0"/>
    <x v="0"/>
    <x v="4"/>
    <s v="中郡大磯町"/>
    <x v="50"/>
    <x v="5"/>
    <x v="5"/>
    <x v="5"/>
    <x v="5"/>
    <n v="6"/>
    <n v="0.79"/>
    <n v="0"/>
    <n v="0"/>
    <n v="6"/>
    <n v="2.31"/>
    <x v="0"/>
    <n v="0"/>
  </r>
  <r>
    <s v="ti.14341"/>
    <x v="0"/>
    <x v="0"/>
    <x v="4"/>
    <s v="中郡大磯町"/>
    <x v="50"/>
    <x v="6"/>
    <x v="6"/>
    <x v="6"/>
    <x v="6"/>
    <n v="160"/>
    <n v="20.97"/>
    <n v="99"/>
    <n v="19.760000000000002"/>
    <n v="60"/>
    <n v="23.08"/>
    <x v="14"/>
    <n v="50"/>
  </r>
  <r>
    <s v="ti.14341"/>
    <x v="0"/>
    <x v="0"/>
    <x v="4"/>
    <s v="中郡大磯町"/>
    <x v="50"/>
    <x v="7"/>
    <x v="7"/>
    <x v="7"/>
    <x v="7"/>
    <n v="7"/>
    <n v="0.92"/>
    <n v="2"/>
    <n v="0.4"/>
    <n v="5"/>
    <n v="1.92"/>
    <x v="0"/>
    <n v="0"/>
  </r>
  <r>
    <s v="ti.14341"/>
    <x v="0"/>
    <x v="0"/>
    <x v="4"/>
    <s v="中郡大磯町"/>
    <x v="50"/>
    <x v="8"/>
    <x v="8"/>
    <x v="8"/>
    <x v="8"/>
    <n v="217"/>
    <n v="28.44"/>
    <n v="177"/>
    <n v="35.33"/>
    <n v="40"/>
    <n v="15.38"/>
    <x v="0"/>
    <n v="0"/>
  </r>
  <r>
    <s v="ti.14341"/>
    <x v="0"/>
    <x v="0"/>
    <x v="4"/>
    <s v="中郡大磯町"/>
    <x v="50"/>
    <x v="9"/>
    <x v="9"/>
    <x v="9"/>
    <x v="9"/>
    <n v="41"/>
    <n v="5.37"/>
    <n v="23"/>
    <n v="4.59"/>
    <n v="18"/>
    <n v="6.92"/>
    <x v="0"/>
    <n v="0"/>
  </r>
  <r>
    <s v="ti.14341"/>
    <x v="0"/>
    <x v="0"/>
    <x v="4"/>
    <s v="中郡大磯町"/>
    <x v="50"/>
    <x v="10"/>
    <x v="10"/>
    <x v="10"/>
    <x v="10"/>
    <n v="51"/>
    <n v="6.68"/>
    <n v="42"/>
    <n v="8.3800000000000008"/>
    <n v="9"/>
    <n v="3.46"/>
    <x v="0"/>
    <n v="0"/>
  </r>
  <r>
    <s v="ti.14341"/>
    <x v="0"/>
    <x v="0"/>
    <x v="4"/>
    <s v="中郡大磯町"/>
    <x v="50"/>
    <x v="11"/>
    <x v="11"/>
    <x v="11"/>
    <x v="11"/>
    <n v="60"/>
    <n v="7.86"/>
    <n v="46"/>
    <n v="9.18"/>
    <n v="14"/>
    <n v="5.38"/>
    <x v="0"/>
    <n v="0"/>
  </r>
  <r>
    <s v="ti.14341"/>
    <x v="0"/>
    <x v="0"/>
    <x v="4"/>
    <s v="中郡大磯町"/>
    <x v="50"/>
    <x v="12"/>
    <x v="12"/>
    <x v="12"/>
    <x v="12"/>
    <n v="46"/>
    <n v="6.03"/>
    <n v="36"/>
    <n v="7.19"/>
    <n v="9"/>
    <n v="3.46"/>
    <x v="14"/>
    <n v="50"/>
  </r>
  <r>
    <s v="ti.14341"/>
    <x v="0"/>
    <x v="0"/>
    <x v="4"/>
    <s v="中郡大磯町"/>
    <x v="50"/>
    <x v="13"/>
    <x v="13"/>
    <x v="13"/>
    <x v="13"/>
    <n v="31"/>
    <n v="4.0599999999999996"/>
    <n v="29"/>
    <n v="5.79"/>
    <n v="2"/>
    <n v="0.77"/>
    <x v="0"/>
    <n v="0"/>
  </r>
  <r>
    <s v="ti.14341"/>
    <x v="0"/>
    <x v="0"/>
    <x v="4"/>
    <s v="中郡大磯町"/>
    <x v="50"/>
    <x v="14"/>
    <x v="14"/>
    <x v="14"/>
    <x v="14"/>
    <n v="16"/>
    <n v="2.1"/>
    <n v="6"/>
    <n v="1.2"/>
    <n v="10"/>
    <n v="3.85"/>
    <x v="0"/>
    <n v="0"/>
  </r>
  <r>
    <s v="ti.14342"/>
    <x v="0"/>
    <x v="0"/>
    <x v="4"/>
    <s v="中郡二宮町"/>
    <x v="51"/>
    <x v="0"/>
    <x v="0"/>
    <x v="0"/>
    <x v="0"/>
    <n v="0"/>
    <n v="0"/>
    <n v="0"/>
    <n v="0"/>
    <n v="0"/>
    <n v="0"/>
    <x v="0"/>
    <n v="0"/>
  </r>
  <r>
    <s v="ti.14342"/>
    <x v="0"/>
    <x v="0"/>
    <x v="4"/>
    <s v="中郡二宮町"/>
    <x v="51"/>
    <x v="1"/>
    <x v="1"/>
    <x v="1"/>
    <x v="1"/>
    <n v="56"/>
    <n v="9.15"/>
    <n v="18"/>
    <n v="4.79"/>
    <n v="38"/>
    <n v="16.170000000000002"/>
    <x v="0"/>
    <n v="0"/>
  </r>
  <r>
    <s v="ti.14342"/>
    <x v="0"/>
    <x v="0"/>
    <x v="4"/>
    <s v="中郡二宮町"/>
    <x v="51"/>
    <x v="2"/>
    <x v="2"/>
    <x v="2"/>
    <x v="2"/>
    <n v="29"/>
    <n v="4.74"/>
    <n v="3"/>
    <n v="0.8"/>
    <n v="26"/>
    <n v="11.06"/>
    <x v="0"/>
    <n v="0"/>
  </r>
  <r>
    <s v="ti.14342"/>
    <x v="0"/>
    <x v="0"/>
    <x v="4"/>
    <s v="中郡二宮町"/>
    <x v="51"/>
    <x v="3"/>
    <x v="3"/>
    <x v="3"/>
    <x v="3"/>
    <n v="0"/>
    <n v="0"/>
    <n v="0"/>
    <n v="0"/>
    <n v="0"/>
    <n v="0"/>
    <x v="0"/>
    <n v="0"/>
  </r>
  <r>
    <s v="ti.14342"/>
    <x v="0"/>
    <x v="0"/>
    <x v="4"/>
    <s v="中郡二宮町"/>
    <x v="51"/>
    <x v="4"/>
    <x v="4"/>
    <x v="4"/>
    <x v="4"/>
    <n v="3"/>
    <n v="0.49"/>
    <n v="0"/>
    <n v="0"/>
    <n v="3"/>
    <n v="1.28"/>
    <x v="0"/>
    <n v="0"/>
  </r>
  <r>
    <s v="ti.14342"/>
    <x v="0"/>
    <x v="0"/>
    <x v="4"/>
    <s v="中郡二宮町"/>
    <x v="51"/>
    <x v="5"/>
    <x v="5"/>
    <x v="5"/>
    <x v="5"/>
    <n v="2"/>
    <n v="0.33"/>
    <n v="0"/>
    <n v="0"/>
    <n v="1"/>
    <n v="0.43"/>
    <x v="14"/>
    <n v="100"/>
  </r>
  <r>
    <s v="ti.14342"/>
    <x v="0"/>
    <x v="0"/>
    <x v="4"/>
    <s v="中郡二宮町"/>
    <x v="51"/>
    <x v="6"/>
    <x v="6"/>
    <x v="6"/>
    <x v="6"/>
    <n v="148"/>
    <n v="24.18"/>
    <n v="82"/>
    <n v="21.81"/>
    <n v="66"/>
    <n v="28.09"/>
    <x v="0"/>
    <n v="0"/>
  </r>
  <r>
    <s v="ti.14342"/>
    <x v="0"/>
    <x v="0"/>
    <x v="4"/>
    <s v="中郡二宮町"/>
    <x v="51"/>
    <x v="7"/>
    <x v="7"/>
    <x v="7"/>
    <x v="7"/>
    <n v="2"/>
    <n v="0.33"/>
    <n v="1"/>
    <n v="0.27"/>
    <n v="1"/>
    <n v="0.43"/>
    <x v="0"/>
    <n v="0"/>
  </r>
  <r>
    <s v="ti.14342"/>
    <x v="0"/>
    <x v="0"/>
    <x v="4"/>
    <s v="中郡二宮町"/>
    <x v="51"/>
    <x v="8"/>
    <x v="8"/>
    <x v="8"/>
    <x v="8"/>
    <n v="132"/>
    <n v="21.57"/>
    <n v="101"/>
    <n v="26.86"/>
    <n v="31"/>
    <n v="13.19"/>
    <x v="0"/>
    <n v="0"/>
  </r>
  <r>
    <s v="ti.14342"/>
    <x v="0"/>
    <x v="0"/>
    <x v="4"/>
    <s v="中郡二宮町"/>
    <x v="51"/>
    <x v="9"/>
    <x v="9"/>
    <x v="9"/>
    <x v="9"/>
    <n v="28"/>
    <n v="4.58"/>
    <n v="12"/>
    <n v="3.19"/>
    <n v="16"/>
    <n v="6.81"/>
    <x v="0"/>
    <n v="0"/>
  </r>
  <r>
    <s v="ti.14342"/>
    <x v="0"/>
    <x v="0"/>
    <x v="4"/>
    <s v="中郡二宮町"/>
    <x v="51"/>
    <x v="10"/>
    <x v="10"/>
    <x v="10"/>
    <x v="10"/>
    <n v="57"/>
    <n v="9.31"/>
    <n v="45"/>
    <n v="11.97"/>
    <n v="12"/>
    <n v="5.1100000000000003"/>
    <x v="0"/>
    <n v="0"/>
  </r>
  <r>
    <s v="ti.14342"/>
    <x v="0"/>
    <x v="0"/>
    <x v="4"/>
    <s v="中郡二宮町"/>
    <x v="51"/>
    <x v="11"/>
    <x v="11"/>
    <x v="11"/>
    <x v="11"/>
    <n v="72"/>
    <n v="11.76"/>
    <n v="55"/>
    <n v="14.63"/>
    <n v="17"/>
    <n v="7.23"/>
    <x v="0"/>
    <n v="0"/>
  </r>
  <r>
    <s v="ti.14342"/>
    <x v="0"/>
    <x v="0"/>
    <x v="4"/>
    <s v="中郡二宮町"/>
    <x v="51"/>
    <x v="12"/>
    <x v="12"/>
    <x v="12"/>
    <x v="12"/>
    <n v="39"/>
    <n v="6.37"/>
    <n v="31"/>
    <n v="8.24"/>
    <n v="8"/>
    <n v="3.4"/>
    <x v="0"/>
    <n v="0"/>
  </r>
  <r>
    <s v="ti.14342"/>
    <x v="0"/>
    <x v="0"/>
    <x v="4"/>
    <s v="中郡二宮町"/>
    <x v="51"/>
    <x v="13"/>
    <x v="13"/>
    <x v="13"/>
    <x v="13"/>
    <n v="34"/>
    <n v="5.56"/>
    <n v="25"/>
    <n v="6.65"/>
    <n v="9"/>
    <n v="3.83"/>
    <x v="0"/>
    <n v="0"/>
  </r>
  <r>
    <s v="ti.14342"/>
    <x v="0"/>
    <x v="0"/>
    <x v="4"/>
    <s v="中郡二宮町"/>
    <x v="51"/>
    <x v="14"/>
    <x v="14"/>
    <x v="14"/>
    <x v="14"/>
    <n v="10"/>
    <n v="1.63"/>
    <n v="3"/>
    <n v="0.8"/>
    <n v="7"/>
    <n v="2.98"/>
    <x v="0"/>
    <n v="0"/>
  </r>
  <r>
    <s v="ti.14361"/>
    <x v="0"/>
    <x v="0"/>
    <x v="4"/>
    <s v="足柄上郡中井町"/>
    <x v="52"/>
    <x v="0"/>
    <x v="0"/>
    <x v="0"/>
    <x v="0"/>
    <n v="0"/>
    <n v="0"/>
    <n v="0"/>
    <n v="0"/>
    <n v="0"/>
    <n v="0"/>
    <x v="0"/>
    <m/>
  </r>
  <r>
    <s v="ti.14361"/>
    <x v="0"/>
    <x v="0"/>
    <x v="4"/>
    <s v="足柄上郡中井町"/>
    <x v="52"/>
    <x v="1"/>
    <x v="1"/>
    <x v="1"/>
    <x v="1"/>
    <n v="64"/>
    <n v="25.3"/>
    <n v="18"/>
    <n v="18.18"/>
    <n v="46"/>
    <n v="29.87"/>
    <x v="0"/>
    <m/>
  </r>
  <r>
    <s v="ti.14361"/>
    <x v="0"/>
    <x v="0"/>
    <x v="4"/>
    <s v="足柄上郡中井町"/>
    <x v="52"/>
    <x v="2"/>
    <x v="2"/>
    <x v="2"/>
    <x v="2"/>
    <n v="45"/>
    <n v="17.79"/>
    <n v="11"/>
    <n v="11.11"/>
    <n v="34"/>
    <n v="22.08"/>
    <x v="0"/>
    <m/>
  </r>
  <r>
    <s v="ti.14361"/>
    <x v="0"/>
    <x v="0"/>
    <x v="4"/>
    <s v="足柄上郡中井町"/>
    <x v="52"/>
    <x v="3"/>
    <x v="3"/>
    <x v="3"/>
    <x v="3"/>
    <n v="0"/>
    <n v="0"/>
    <n v="0"/>
    <n v="0"/>
    <n v="0"/>
    <n v="0"/>
    <x v="0"/>
    <m/>
  </r>
  <r>
    <s v="ti.14361"/>
    <x v="0"/>
    <x v="0"/>
    <x v="4"/>
    <s v="足柄上郡中井町"/>
    <x v="52"/>
    <x v="4"/>
    <x v="4"/>
    <x v="4"/>
    <x v="4"/>
    <n v="2"/>
    <n v="0.79"/>
    <n v="0"/>
    <n v="0"/>
    <n v="2"/>
    <n v="1.3"/>
    <x v="0"/>
    <m/>
  </r>
  <r>
    <s v="ti.14361"/>
    <x v="0"/>
    <x v="0"/>
    <x v="4"/>
    <s v="足柄上郡中井町"/>
    <x v="52"/>
    <x v="5"/>
    <x v="5"/>
    <x v="5"/>
    <x v="5"/>
    <n v="2"/>
    <n v="0.79"/>
    <n v="0"/>
    <n v="0"/>
    <n v="2"/>
    <n v="1.3"/>
    <x v="0"/>
    <m/>
  </r>
  <r>
    <s v="ti.14361"/>
    <x v="0"/>
    <x v="0"/>
    <x v="4"/>
    <s v="足柄上郡中井町"/>
    <x v="52"/>
    <x v="6"/>
    <x v="6"/>
    <x v="6"/>
    <x v="6"/>
    <n v="55"/>
    <n v="21.74"/>
    <n v="21"/>
    <n v="21.21"/>
    <n v="34"/>
    <n v="22.08"/>
    <x v="0"/>
    <m/>
  </r>
  <r>
    <s v="ti.14361"/>
    <x v="0"/>
    <x v="0"/>
    <x v="4"/>
    <s v="足柄上郡中井町"/>
    <x v="52"/>
    <x v="7"/>
    <x v="7"/>
    <x v="7"/>
    <x v="7"/>
    <n v="0"/>
    <n v="0"/>
    <n v="0"/>
    <n v="0"/>
    <n v="0"/>
    <n v="0"/>
    <x v="0"/>
    <m/>
  </r>
  <r>
    <s v="ti.14361"/>
    <x v="0"/>
    <x v="0"/>
    <x v="4"/>
    <s v="足柄上郡中井町"/>
    <x v="52"/>
    <x v="8"/>
    <x v="8"/>
    <x v="8"/>
    <x v="8"/>
    <n v="29"/>
    <n v="11.46"/>
    <n v="14"/>
    <n v="14.14"/>
    <n v="15"/>
    <n v="9.74"/>
    <x v="0"/>
    <m/>
  </r>
  <r>
    <s v="ti.14361"/>
    <x v="0"/>
    <x v="0"/>
    <x v="4"/>
    <s v="足柄上郡中井町"/>
    <x v="52"/>
    <x v="9"/>
    <x v="9"/>
    <x v="9"/>
    <x v="9"/>
    <n v="7"/>
    <n v="2.77"/>
    <n v="1"/>
    <n v="1.01"/>
    <n v="6"/>
    <n v="3.9"/>
    <x v="0"/>
    <m/>
  </r>
  <r>
    <s v="ti.14361"/>
    <x v="0"/>
    <x v="0"/>
    <x v="4"/>
    <s v="足柄上郡中井町"/>
    <x v="52"/>
    <x v="10"/>
    <x v="10"/>
    <x v="10"/>
    <x v="10"/>
    <n v="10"/>
    <n v="3.95"/>
    <n v="6"/>
    <n v="6.06"/>
    <n v="4"/>
    <n v="2.6"/>
    <x v="0"/>
    <m/>
  </r>
  <r>
    <s v="ti.14361"/>
    <x v="0"/>
    <x v="0"/>
    <x v="4"/>
    <s v="足柄上郡中井町"/>
    <x v="52"/>
    <x v="11"/>
    <x v="11"/>
    <x v="11"/>
    <x v="11"/>
    <n v="21"/>
    <n v="8.3000000000000007"/>
    <n v="18"/>
    <n v="18.18"/>
    <n v="3"/>
    <n v="1.95"/>
    <x v="0"/>
    <m/>
  </r>
  <r>
    <s v="ti.14361"/>
    <x v="0"/>
    <x v="0"/>
    <x v="4"/>
    <s v="足柄上郡中井町"/>
    <x v="52"/>
    <x v="12"/>
    <x v="12"/>
    <x v="12"/>
    <x v="12"/>
    <n v="4"/>
    <n v="1.58"/>
    <n v="3"/>
    <n v="3.03"/>
    <n v="1"/>
    <n v="0.65"/>
    <x v="0"/>
    <m/>
  </r>
  <r>
    <s v="ti.14361"/>
    <x v="0"/>
    <x v="0"/>
    <x v="4"/>
    <s v="足柄上郡中井町"/>
    <x v="52"/>
    <x v="13"/>
    <x v="13"/>
    <x v="13"/>
    <x v="13"/>
    <n v="5"/>
    <n v="1.98"/>
    <n v="4"/>
    <n v="4.04"/>
    <n v="1"/>
    <n v="0.65"/>
    <x v="0"/>
    <m/>
  </r>
  <r>
    <s v="ti.14361"/>
    <x v="0"/>
    <x v="0"/>
    <x v="4"/>
    <s v="足柄上郡中井町"/>
    <x v="52"/>
    <x v="14"/>
    <x v="14"/>
    <x v="14"/>
    <x v="14"/>
    <n v="9"/>
    <n v="3.56"/>
    <n v="3"/>
    <n v="3.03"/>
    <n v="6"/>
    <n v="3.9"/>
    <x v="0"/>
    <m/>
  </r>
  <r>
    <s v="ti.14362"/>
    <x v="0"/>
    <x v="0"/>
    <x v="4"/>
    <s v="足柄上郡大井町"/>
    <x v="53"/>
    <x v="0"/>
    <x v="0"/>
    <x v="0"/>
    <x v="0"/>
    <n v="1"/>
    <n v="0.24"/>
    <n v="0"/>
    <n v="0"/>
    <n v="1"/>
    <n v="0.6"/>
    <x v="0"/>
    <n v="0"/>
  </r>
  <r>
    <s v="ti.14362"/>
    <x v="0"/>
    <x v="0"/>
    <x v="4"/>
    <s v="足柄上郡大井町"/>
    <x v="53"/>
    <x v="1"/>
    <x v="1"/>
    <x v="1"/>
    <x v="1"/>
    <n v="77"/>
    <n v="18.29"/>
    <n v="29"/>
    <n v="11.42"/>
    <n v="48"/>
    <n v="28.92"/>
    <x v="0"/>
    <n v="0"/>
  </r>
  <r>
    <s v="ti.14362"/>
    <x v="0"/>
    <x v="0"/>
    <x v="4"/>
    <s v="足柄上郡大井町"/>
    <x v="53"/>
    <x v="2"/>
    <x v="2"/>
    <x v="2"/>
    <x v="2"/>
    <n v="28"/>
    <n v="6.65"/>
    <n v="9"/>
    <n v="3.54"/>
    <n v="19"/>
    <n v="11.45"/>
    <x v="0"/>
    <n v="0"/>
  </r>
  <r>
    <s v="ti.14362"/>
    <x v="0"/>
    <x v="0"/>
    <x v="4"/>
    <s v="足柄上郡大井町"/>
    <x v="53"/>
    <x v="3"/>
    <x v="3"/>
    <x v="3"/>
    <x v="3"/>
    <n v="0"/>
    <n v="0"/>
    <n v="0"/>
    <n v="0"/>
    <n v="0"/>
    <n v="0"/>
    <x v="0"/>
    <n v="0"/>
  </r>
  <r>
    <s v="ti.14362"/>
    <x v="0"/>
    <x v="0"/>
    <x v="4"/>
    <s v="足柄上郡大井町"/>
    <x v="53"/>
    <x v="4"/>
    <x v="4"/>
    <x v="4"/>
    <x v="4"/>
    <n v="0"/>
    <n v="0"/>
    <n v="0"/>
    <n v="0"/>
    <n v="0"/>
    <n v="0"/>
    <x v="0"/>
    <n v="0"/>
  </r>
  <r>
    <s v="ti.14362"/>
    <x v="0"/>
    <x v="0"/>
    <x v="4"/>
    <s v="足柄上郡大井町"/>
    <x v="53"/>
    <x v="5"/>
    <x v="5"/>
    <x v="5"/>
    <x v="5"/>
    <n v="7"/>
    <n v="1.66"/>
    <n v="1"/>
    <n v="0.39"/>
    <n v="6"/>
    <n v="3.61"/>
    <x v="0"/>
    <n v="0"/>
  </r>
  <r>
    <s v="ti.14362"/>
    <x v="0"/>
    <x v="0"/>
    <x v="4"/>
    <s v="足柄上郡大井町"/>
    <x v="53"/>
    <x v="6"/>
    <x v="6"/>
    <x v="6"/>
    <x v="6"/>
    <n v="66"/>
    <n v="15.68"/>
    <n v="41"/>
    <n v="16.14"/>
    <n v="25"/>
    <n v="15.06"/>
    <x v="0"/>
    <n v="0"/>
  </r>
  <r>
    <s v="ti.14362"/>
    <x v="0"/>
    <x v="0"/>
    <x v="4"/>
    <s v="足柄上郡大井町"/>
    <x v="53"/>
    <x v="7"/>
    <x v="7"/>
    <x v="7"/>
    <x v="7"/>
    <n v="1"/>
    <n v="0.24"/>
    <n v="0"/>
    <n v="0"/>
    <n v="1"/>
    <n v="0.6"/>
    <x v="0"/>
    <n v="0"/>
  </r>
  <r>
    <s v="ti.14362"/>
    <x v="0"/>
    <x v="0"/>
    <x v="4"/>
    <s v="足柄上郡大井町"/>
    <x v="53"/>
    <x v="8"/>
    <x v="8"/>
    <x v="8"/>
    <x v="8"/>
    <n v="102"/>
    <n v="24.23"/>
    <n v="75"/>
    <n v="29.53"/>
    <n v="27"/>
    <n v="16.27"/>
    <x v="0"/>
    <n v="0"/>
  </r>
  <r>
    <s v="ti.14362"/>
    <x v="0"/>
    <x v="0"/>
    <x v="4"/>
    <s v="足柄上郡大井町"/>
    <x v="53"/>
    <x v="9"/>
    <x v="9"/>
    <x v="9"/>
    <x v="9"/>
    <n v="13"/>
    <n v="3.09"/>
    <n v="6"/>
    <n v="2.36"/>
    <n v="7"/>
    <n v="4.22"/>
    <x v="0"/>
    <n v="0"/>
  </r>
  <r>
    <s v="ti.14362"/>
    <x v="0"/>
    <x v="0"/>
    <x v="4"/>
    <s v="足柄上郡大井町"/>
    <x v="53"/>
    <x v="10"/>
    <x v="10"/>
    <x v="10"/>
    <x v="10"/>
    <n v="46"/>
    <n v="10.93"/>
    <n v="40"/>
    <n v="15.75"/>
    <n v="5"/>
    <n v="3.01"/>
    <x v="14"/>
    <n v="100"/>
  </r>
  <r>
    <s v="ti.14362"/>
    <x v="0"/>
    <x v="0"/>
    <x v="4"/>
    <s v="足柄上郡大井町"/>
    <x v="53"/>
    <x v="11"/>
    <x v="11"/>
    <x v="11"/>
    <x v="11"/>
    <n v="40"/>
    <n v="9.5"/>
    <n v="29"/>
    <n v="11.42"/>
    <n v="11"/>
    <n v="6.63"/>
    <x v="0"/>
    <n v="0"/>
  </r>
  <r>
    <s v="ti.14362"/>
    <x v="0"/>
    <x v="0"/>
    <x v="4"/>
    <s v="足柄上郡大井町"/>
    <x v="53"/>
    <x v="12"/>
    <x v="12"/>
    <x v="12"/>
    <x v="12"/>
    <n v="9"/>
    <n v="2.14"/>
    <n v="8"/>
    <n v="3.15"/>
    <n v="1"/>
    <n v="0.6"/>
    <x v="0"/>
    <n v="0"/>
  </r>
  <r>
    <s v="ti.14362"/>
    <x v="0"/>
    <x v="0"/>
    <x v="4"/>
    <s v="足柄上郡大井町"/>
    <x v="53"/>
    <x v="13"/>
    <x v="13"/>
    <x v="13"/>
    <x v="13"/>
    <n v="18"/>
    <n v="4.28"/>
    <n v="11"/>
    <n v="4.33"/>
    <n v="7"/>
    <n v="4.22"/>
    <x v="0"/>
    <n v="0"/>
  </r>
  <r>
    <s v="ti.14362"/>
    <x v="0"/>
    <x v="0"/>
    <x v="4"/>
    <s v="足柄上郡大井町"/>
    <x v="53"/>
    <x v="14"/>
    <x v="14"/>
    <x v="14"/>
    <x v="14"/>
    <n v="13"/>
    <n v="3.09"/>
    <n v="5"/>
    <n v="1.97"/>
    <n v="8"/>
    <n v="4.82"/>
    <x v="0"/>
    <n v="0"/>
  </r>
  <r>
    <s v="ti.14363"/>
    <x v="0"/>
    <x v="0"/>
    <x v="4"/>
    <s v="足柄上郡松田町"/>
    <x v="54"/>
    <x v="0"/>
    <x v="0"/>
    <x v="0"/>
    <x v="0"/>
    <n v="0"/>
    <n v="0"/>
    <n v="0"/>
    <n v="0"/>
    <n v="0"/>
    <n v="0"/>
    <x v="0"/>
    <m/>
  </r>
  <r>
    <s v="ti.14363"/>
    <x v="0"/>
    <x v="0"/>
    <x v="4"/>
    <s v="足柄上郡松田町"/>
    <x v="54"/>
    <x v="1"/>
    <x v="1"/>
    <x v="1"/>
    <x v="1"/>
    <n v="38"/>
    <n v="10.24"/>
    <n v="17"/>
    <n v="6.64"/>
    <n v="21"/>
    <n v="18.260000000000002"/>
    <x v="0"/>
    <m/>
  </r>
  <r>
    <s v="ti.14363"/>
    <x v="0"/>
    <x v="0"/>
    <x v="4"/>
    <s v="足柄上郡松田町"/>
    <x v="54"/>
    <x v="2"/>
    <x v="2"/>
    <x v="2"/>
    <x v="2"/>
    <n v="16"/>
    <n v="4.3099999999999996"/>
    <n v="7"/>
    <n v="2.73"/>
    <n v="9"/>
    <n v="7.83"/>
    <x v="0"/>
    <m/>
  </r>
  <r>
    <s v="ti.14363"/>
    <x v="0"/>
    <x v="0"/>
    <x v="4"/>
    <s v="足柄上郡松田町"/>
    <x v="54"/>
    <x v="3"/>
    <x v="3"/>
    <x v="3"/>
    <x v="3"/>
    <n v="0"/>
    <n v="0"/>
    <n v="0"/>
    <n v="0"/>
    <n v="0"/>
    <n v="0"/>
    <x v="0"/>
    <m/>
  </r>
  <r>
    <s v="ti.14363"/>
    <x v="0"/>
    <x v="0"/>
    <x v="4"/>
    <s v="足柄上郡松田町"/>
    <x v="54"/>
    <x v="4"/>
    <x v="4"/>
    <x v="4"/>
    <x v="4"/>
    <n v="4"/>
    <n v="1.08"/>
    <n v="0"/>
    <n v="0"/>
    <n v="4"/>
    <n v="3.48"/>
    <x v="0"/>
    <m/>
  </r>
  <r>
    <s v="ti.14363"/>
    <x v="0"/>
    <x v="0"/>
    <x v="4"/>
    <s v="足柄上郡松田町"/>
    <x v="54"/>
    <x v="5"/>
    <x v="5"/>
    <x v="5"/>
    <x v="5"/>
    <n v="4"/>
    <n v="1.08"/>
    <n v="1"/>
    <n v="0.39"/>
    <n v="3"/>
    <n v="2.61"/>
    <x v="0"/>
    <m/>
  </r>
  <r>
    <s v="ti.14363"/>
    <x v="0"/>
    <x v="0"/>
    <x v="4"/>
    <s v="足柄上郡松田町"/>
    <x v="54"/>
    <x v="6"/>
    <x v="6"/>
    <x v="6"/>
    <x v="6"/>
    <n v="63"/>
    <n v="16.98"/>
    <n v="38"/>
    <n v="14.84"/>
    <n v="25"/>
    <n v="21.74"/>
    <x v="0"/>
    <m/>
  </r>
  <r>
    <s v="ti.14363"/>
    <x v="0"/>
    <x v="0"/>
    <x v="4"/>
    <s v="足柄上郡松田町"/>
    <x v="54"/>
    <x v="7"/>
    <x v="7"/>
    <x v="7"/>
    <x v="7"/>
    <n v="2"/>
    <n v="0.54"/>
    <n v="2"/>
    <n v="0.78"/>
    <n v="0"/>
    <n v="0"/>
    <x v="0"/>
    <m/>
  </r>
  <r>
    <s v="ti.14363"/>
    <x v="0"/>
    <x v="0"/>
    <x v="4"/>
    <s v="足柄上郡松田町"/>
    <x v="54"/>
    <x v="8"/>
    <x v="8"/>
    <x v="8"/>
    <x v="8"/>
    <n v="114"/>
    <n v="30.73"/>
    <n v="94"/>
    <n v="36.72"/>
    <n v="20"/>
    <n v="17.39"/>
    <x v="0"/>
    <m/>
  </r>
  <r>
    <s v="ti.14363"/>
    <x v="0"/>
    <x v="0"/>
    <x v="4"/>
    <s v="足柄上郡松田町"/>
    <x v="54"/>
    <x v="9"/>
    <x v="9"/>
    <x v="9"/>
    <x v="9"/>
    <n v="15"/>
    <n v="4.04"/>
    <n v="7"/>
    <n v="2.73"/>
    <n v="8"/>
    <n v="6.96"/>
    <x v="0"/>
    <m/>
  </r>
  <r>
    <s v="ti.14363"/>
    <x v="0"/>
    <x v="0"/>
    <x v="4"/>
    <s v="足柄上郡松田町"/>
    <x v="54"/>
    <x v="10"/>
    <x v="10"/>
    <x v="10"/>
    <x v="10"/>
    <n v="56"/>
    <n v="15.09"/>
    <n v="45"/>
    <n v="17.579999999999998"/>
    <n v="11"/>
    <n v="9.57"/>
    <x v="0"/>
    <m/>
  </r>
  <r>
    <s v="ti.14363"/>
    <x v="0"/>
    <x v="0"/>
    <x v="4"/>
    <s v="足柄上郡松田町"/>
    <x v="54"/>
    <x v="11"/>
    <x v="11"/>
    <x v="11"/>
    <x v="11"/>
    <n v="32"/>
    <n v="8.6300000000000008"/>
    <n v="31"/>
    <n v="12.11"/>
    <n v="1"/>
    <n v="0.87"/>
    <x v="0"/>
    <m/>
  </r>
  <r>
    <s v="ti.14363"/>
    <x v="0"/>
    <x v="0"/>
    <x v="4"/>
    <s v="足柄上郡松田町"/>
    <x v="54"/>
    <x v="12"/>
    <x v="12"/>
    <x v="12"/>
    <x v="12"/>
    <n v="8"/>
    <n v="2.16"/>
    <n v="5"/>
    <n v="1.95"/>
    <n v="3"/>
    <n v="2.61"/>
    <x v="0"/>
    <m/>
  </r>
  <r>
    <s v="ti.14363"/>
    <x v="0"/>
    <x v="0"/>
    <x v="4"/>
    <s v="足柄上郡松田町"/>
    <x v="54"/>
    <x v="13"/>
    <x v="13"/>
    <x v="13"/>
    <x v="13"/>
    <n v="10"/>
    <n v="2.7"/>
    <n v="7"/>
    <n v="2.73"/>
    <n v="3"/>
    <n v="2.61"/>
    <x v="0"/>
    <m/>
  </r>
  <r>
    <s v="ti.14363"/>
    <x v="0"/>
    <x v="0"/>
    <x v="4"/>
    <s v="足柄上郡松田町"/>
    <x v="54"/>
    <x v="14"/>
    <x v="14"/>
    <x v="14"/>
    <x v="14"/>
    <n v="9"/>
    <n v="2.4300000000000002"/>
    <n v="2"/>
    <n v="0.78"/>
    <n v="7"/>
    <n v="6.09"/>
    <x v="0"/>
    <m/>
  </r>
  <r>
    <s v="ti.14364"/>
    <x v="0"/>
    <x v="0"/>
    <x v="4"/>
    <s v="足柄上郡山北町"/>
    <x v="55"/>
    <x v="0"/>
    <x v="0"/>
    <x v="0"/>
    <x v="0"/>
    <n v="1"/>
    <n v="0.35"/>
    <n v="0"/>
    <n v="0"/>
    <n v="1"/>
    <n v="0.8"/>
    <x v="0"/>
    <n v="0"/>
  </r>
  <r>
    <s v="ti.14364"/>
    <x v="0"/>
    <x v="0"/>
    <x v="4"/>
    <s v="足柄上郡山北町"/>
    <x v="55"/>
    <x v="1"/>
    <x v="1"/>
    <x v="1"/>
    <x v="1"/>
    <n v="56"/>
    <n v="19.72"/>
    <n v="15"/>
    <n v="9.5500000000000007"/>
    <n v="41"/>
    <n v="32.799999999999997"/>
    <x v="0"/>
    <n v="0"/>
  </r>
  <r>
    <s v="ti.14364"/>
    <x v="0"/>
    <x v="0"/>
    <x v="4"/>
    <s v="足柄上郡山北町"/>
    <x v="55"/>
    <x v="2"/>
    <x v="2"/>
    <x v="2"/>
    <x v="2"/>
    <n v="23"/>
    <n v="8.1"/>
    <n v="9"/>
    <n v="5.73"/>
    <n v="14"/>
    <n v="11.2"/>
    <x v="0"/>
    <n v="0"/>
  </r>
  <r>
    <s v="ti.14364"/>
    <x v="0"/>
    <x v="0"/>
    <x v="4"/>
    <s v="足柄上郡山北町"/>
    <x v="55"/>
    <x v="3"/>
    <x v="3"/>
    <x v="3"/>
    <x v="3"/>
    <n v="0"/>
    <n v="0"/>
    <n v="0"/>
    <n v="0"/>
    <n v="0"/>
    <n v="0"/>
    <x v="0"/>
    <n v="0"/>
  </r>
  <r>
    <s v="ti.14364"/>
    <x v="0"/>
    <x v="0"/>
    <x v="4"/>
    <s v="足柄上郡山北町"/>
    <x v="55"/>
    <x v="4"/>
    <x v="4"/>
    <x v="4"/>
    <x v="4"/>
    <n v="0"/>
    <n v="0"/>
    <n v="0"/>
    <n v="0"/>
    <n v="0"/>
    <n v="0"/>
    <x v="0"/>
    <n v="0"/>
  </r>
  <r>
    <s v="ti.14364"/>
    <x v="0"/>
    <x v="0"/>
    <x v="4"/>
    <s v="足柄上郡山北町"/>
    <x v="55"/>
    <x v="5"/>
    <x v="5"/>
    <x v="5"/>
    <x v="5"/>
    <n v="6"/>
    <n v="2.11"/>
    <n v="0"/>
    <n v="0"/>
    <n v="6"/>
    <n v="4.8"/>
    <x v="0"/>
    <n v="0"/>
  </r>
  <r>
    <s v="ti.14364"/>
    <x v="0"/>
    <x v="0"/>
    <x v="4"/>
    <s v="足柄上郡山北町"/>
    <x v="55"/>
    <x v="6"/>
    <x v="6"/>
    <x v="6"/>
    <x v="6"/>
    <n v="85"/>
    <n v="29.93"/>
    <n v="53"/>
    <n v="33.76"/>
    <n v="31"/>
    <n v="24.8"/>
    <x v="14"/>
    <n v="50"/>
  </r>
  <r>
    <s v="ti.14364"/>
    <x v="0"/>
    <x v="0"/>
    <x v="4"/>
    <s v="足柄上郡山北町"/>
    <x v="55"/>
    <x v="7"/>
    <x v="7"/>
    <x v="7"/>
    <x v="7"/>
    <n v="0"/>
    <n v="0"/>
    <n v="0"/>
    <n v="0"/>
    <n v="0"/>
    <n v="0"/>
    <x v="0"/>
    <n v="0"/>
  </r>
  <r>
    <s v="ti.14364"/>
    <x v="0"/>
    <x v="0"/>
    <x v="4"/>
    <s v="足柄上郡山北町"/>
    <x v="55"/>
    <x v="8"/>
    <x v="8"/>
    <x v="8"/>
    <x v="8"/>
    <n v="29"/>
    <n v="10.210000000000001"/>
    <n v="17"/>
    <n v="10.83"/>
    <n v="12"/>
    <n v="9.6"/>
    <x v="0"/>
    <n v="0"/>
  </r>
  <r>
    <s v="ti.14364"/>
    <x v="0"/>
    <x v="0"/>
    <x v="4"/>
    <s v="足柄上郡山北町"/>
    <x v="55"/>
    <x v="9"/>
    <x v="9"/>
    <x v="9"/>
    <x v="9"/>
    <n v="3"/>
    <n v="1.06"/>
    <n v="2"/>
    <n v="1.27"/>
    <n v="1"/>
    <n v="0.8"/>
    <x v="0"/>
    <n v="0"/>
  </r>
  <r>
    <s v="ti.14364"/>
    <x v="0"/>
    <x v="0"/>
    <x v="4"/>
    <s v="足柄上郡山北町"/>
    <x v="55"/>
    <x v="10"/>
    <x v="10"/>
    <x v="10"/>
    <x v="10"/>
    <n v="28"/>
    <n v="9.86"/>
    <n v="20"/>
    <n v="12.74"/>
    <n v="8"/>
    <n v="6.4"/>
    <x v="0"/>
    <n v="0"/>
  </r>
  <r>
    <s v="ti.14364"/>
    <x v="0"/>
    <x v="0"/>
    <x v="4"/>
    <s v="足柄上郡山北町"/>
    <x v="55"/>
    <x v="11"/>
    <x v="11"/>
    <x v="11"/>
    <x v="11"/>
    <n v="26"/>
    <n v="9.15"/>
    <n v="23"/>
    <n v="14.65"/>
    <n v="2"/>
    <n v="1.6"/>
    <x v="14"/>
    <n v="50"/>
  </r>
  <r>
    <s v="ti.14364"/>
    <x v="0"/>
    <x v="0"/>
    <x v="4"/>
    <s v="足柄上郡山北町"/>
    <x v="55"/>
    <x v="12"/>
    <x v="12"/>
    <x v="12"/>
    <x v="12"/>
    <n v="12"/>
    <n v="4.2300000000000004"/>
    <n v="10"/>
    <n v="6.37"/>
    <n v="2"/>
    <n v="1.6"/>
    <x v="0"/>
    <n v="0"/>
  </r>
  <r>
    <s v="ti.14364"/>
    <x v="0"/>
    <x v="0"/>
    <x v="4"/>
    <s v="足柄上郡山北町"/>
    <x v="55"/>
    <x v="13"/>
    <x v="13"/>
    <x v="13"/>
    <x v="13"/>
    <n v="4"/>
    <n v="1.41"/>
    <n v="4"/>
    <n v="2.5499999999999998"/>
    <n v="0"/>
    <n v="0"/>
    <x v="0"/>
    <n v="0"/>
  </r>
  <r>
    <s v="ti.14364"/>
    <x v="0"/>
    <x v="0"/>
    <x v="4"/>
    <s v="足柄上郡山北町"/>
    <x v="55"/>
    <x v="14"/>
    <x v="14"/>
    <x v="14"/>
    <x v="14"/>
    <n v="11"/>
    <n v="3.87"/>
    <n v="4"/>
    <n v="2.5499999999999998"/>
    <n v="7"/>
    <n v="5.6"/>
    <x v="0"/>
    <n v="0"/>
  </r>
  <r>
    <s v="ti.14366"/>
    <x v="0"/>
    <x v="0"/>
    <x v="4"/>
    <s v="足柄上郡開成町"/>
    <x v="56"/>
    <x v="0"/>
    <x v="0"/>
    <x v="0"/>
    <x v="0"/>
    <n v="0"/>
    <n v="0"/>
    <n v="0"/>
    <n v="0"/>
    <n v="0"/>
    <n v="0"/>
    <x v="0"/>
    <m/>
  </r>
  <r>
    <s v="ti.14366"/>
    <x v="0"/>
    <x v="0"/>
    <x v="4"/>
    <s v="足柄上郡開成町"/>
    <x v="56"/>
    <x v="1"/>
    <x v="1"/>
    <x v="1"/>
    <x v="1"/>
    <n v="47"/>
    <n v="11.16"/>
    <n v="19"/>
    <n v="6.67"/>
    <n v="28"/>
    <n v="20.59"/>
    <x v="0"/>
    <m/>
  </r>
  <r>
    <s v="ti.14366"/>
    <x v="0"/>
    <x v="0"/>
    <x v="4"/>
    <s v="足柄上郡開成町"/>
    <x v="56"/>
    <x v="2"/>
    <x v="2"/>
    <x v="2"/>
    <x v="2"/>
    <n v="19"/>
    <n v="4.51"/>
    <n v="6"/>
    <n v="2.11"/>
    <n v="13"/>
    <n v="9.56"/>
    <x v="0"/>
    <m/>
  </r>
  <r>
    <s v="ti.14366"/>
    <x v="0"/>
    <x v="0"/>
    <x v="4"/>
    <s v="足柄上郡開成町"/>
    <x v="56"/>
    <x v="3"/>
    <x v="3"/>
    <x v="3"/>
    <x v="3"/>
    <n v="0"/>
    <n v="0"/>
    <n v="0"/>
    <n v="0"/>
    <n v="0"/>
    <n v="0"/>
    <x v="0"/>
    <m/>
  </r>
  <r>
    <s v="ti.14366"/>
    <x v="0"/>
    <x v="0"/>
    <x v="4"/>
    <s v="足柄上郡開成町"/>
    <x v="56"/>
    <x v="4"/>
    <x v="4"/>
    <x v="4"/>
    <x v="4"/>
    <n v="1"/>
    <n v="0.24"/>
    <n v="0"/>
    <n v="0"/>
    <n v="1"/>
    <n v="0.74"/>
    <x v="0"/>
    <m/>
  </r>
  <r>
    <s v="ti.14366"/>
    <x v="0"/>
    <x v="0"/>
    <x v="4"/>
    <s v="足柄上郡開成町"/>
    <x v="56"/>
    <x v="5"/>
    <x v="5"/>
    <x v="5"/>
    <x v="5"/>
    <n v="1"/>
    <n v="0.24"/>
    <n v="0"/>
    <n v="0"/>
    <n v="1"/>
    <n v="0.74"/>
    <x v="0"/>
    <m/>
  </r>
  <r>
    <s v="ti.14366"/>
    <x v="0"/>
    <x v="0"/>
    <x v="4"/>
    <s v="足柄上郡開成町"/>
    <x v="56"/>
    <x v="6"/>
    <x v="6"/>
    <x v="6"/>
    <x v="6"/>
    <n v="71"/>
    <n v="16.86"/>
    <n v="43"/>
    <n v="15.09"/>
    <n v="28"/>
    <n v="20.59"/>
    <x v="0"/>
    <m/>
  </r>
  <r>
    <s v="ti.14366"/>
    <x v="0"/>
    <x v="0"/>
    <x v="4"/>
    <s v="足柄上郡開成町"/>
    <x v="56"/>
    <x v="7"/>
    <x v="7"/>
    <x v="7"/>
    <x v="7"/>
    <n v="1"/>
    <n v="0.24"/>
    <n v="0"/>
    <n v="0"/>
    <n v="1"/>
    <n v="0.74"/>
    <x v="0"/>
    <m/>
  </r>
  <r>
    <s v="ti.14366"/>
    <x v="0"/>
    <x v="0"/>
    <x v="4"/>
    <s v="足柄上郡開成町"/>
    <x v="56"/>
    <x v="8"/>
    <x v="8"/>
    <x v="8"/>
    <x v="8"/>
    <n v="136"/>
    <n v="32.299999999999997"/>
    <n v="108"/>
    <n v="37.89"/>
    <n v="28"/>
    <n v="20.59"/>
    <x v="0"/>
    <m/>
  </r>
  <r>
    <s v="ti.14366"/>
    <x v="0"/>
    <x v="0"/>
    <x v="4"/>
    <s v="足柄上郡開成町"/>
    <x v="56"/>
    <x v="9"/>
    <x v="9"/>
    <x v="9"/>
    <x v="9"/>
    <n v="10"/>
    <n v="2.38"/>
    <n v="8"/>
    <n v="2.81"/>
    <n v="2"/>
    <n v="1.47"/>
    <x v="0"/>
    <m/>
  </r>
  <r>
    <s v="ti.14366"/>
    <x v="0"/>
    <x v="0"/>
    <x v="4"/>
    <s v="足柄上郡開成町"/>
    <x v="56"/>
    <x v="10"/>
    <x v="10"/>
    <x v="10"/>
    <x v="10"/>
    <n v="42"/>
    <n v="9.98"/>
    <n v="35"/>
    <n v="12.28"/>
    <n v="7"/>
    <n v="5.15"/>
    <x v="0"/>
    <m/>
  </r>
  <r>
    <s v="ti.14366"/>
    <x v="0"/>
    <x v="0"/>
    <x v="4"/>
    <s v="足柄上郡開成町"/>
    <x v="56"/>
    <x v="11"/>
    <x v="11"/>
    <x v="11"/>
    <x v="11"/>
    <n v="47"/>
    <n v="11.16"/>
    <n v="37"/>
    <n v="12.98"/>
    <n v="10"/>
    <n v="7.35"/>
    <x v="0"/>
    <m/>
  </r>
  <r>
    <s v="ti.14366"/>
    <x v="0"/>
    <x v="0"/>
    <x v="4"/>
    <s v="足柄上郡開成町"/>
    <x v="56"/>
    <x v="12"/>
    <x v="12"/>
    <x v="12"/>
    <x v="12"/>
    <n v="19"/>
    <n v="4.51"/>
    <n v="13"/>
    <n v="4.5599999999999996"/>
    <n v="6"/>
    <n v="4.41"/>
    <x v="0"/>
    <m/>
  </r>
  <r>
    <s v="ti.14366"/>
    <x v="0"/>
    <x v="0"/>
    <x v="4"/>
    <s v="足柄上郡開成町"/>
    <x v="56"/>
    <x v="13"/>
    <x v="13"/>
    <x v="13"/>
    <x v="13"/>
    <n v="17"/>
    <n v="4.04"/>
    <n v="13"/>
    <n v="4.5599999999999996"/>
    <n v="4"/>
    <n v="2.94"/>
    <x v="0"/>
    <m/>
  </r>
  <r>
    <s v="ti.14366"/>
    <x v="0"/>
    <x v="0"/>
    <x v="4"/>
    <s v="足柄上郡開成町"/>
    <x v="56"/>
    <x v="14"/>
    <x v="14"/>
    <x v="14"/>
    <x v="14"/>
    <n v="10"/>
    <n v="2.38"/>
    <n v="3"/>
    <n v="1.05"/>
    <n v="7"/>
    <n v="5.15"/>
    <x v="0"/>
    <m/>
  </r>
  <r>
    <s v="ti.14382"/>
    <x v="0"/>
    <x v="0"/>
    <x v="4"/>
    <s v="足柄下郡箱根町"/>
    <x v="57"/>
    <x v="0"/>
    <x v="0"/>
    <x v="0"/>
    <x v="0"/>
    <n v="0"/>
    <n v="0"/>
    <n v="0"/>
    <n v="0"/>
    <n v="0"/>
    <n v="0"/>
    <x v="0"/>
    <n v="0"/>
  </r>
  <r>
    <s v="ti.14382"/>
    <x v="0"/>
    <x v="0"/>
    <x v="4"/>
    <s v="足柄下郡箱根町"/>
    <x v="57"/>
    <x v="1"/>
    <x v="1"/>
    <x v="1"/>
    <x v="1"/>
    <n v="90"/>
    <n v="11.81"/>
    <n v="21"/>
    <n v="6.89"/>
    <n v="69"/>
    <n v="15.3"/>
    <x v="0"/>
    <n v="0"/>
  </r>
  <r>
    <s v="ti.14382"/>
    <x v="0"/>
    <x v="0"/>
    <x v="4"/>
    <s v="足柄下郡箱根町"/>
    <x v="57"/>
    <x v="2"/>
    <x v="2"/>
    <x v="2"/>
    <x v="2"/>
    <n v="16"/>
    <n v="2.1"/>
    <n v="13"/>
    <n v="4.26"/>
    <n v="3"/>
    <n v="0.67"/>
    <x v="0"/>
    <n v="0"/>
  </r>
  <r>
    <s v="ti.14382"/>
    <x v="0"/>
    <x v="0"/>
    <x v="4"/>
    <s v="足柄下郡箱根町"/>
    <x v="57"/>
    <x v="3"/>
    <x v="3"/>
    <x v="3"/>
    <x v="3"/>
    <n v="0"/>
    <n v="0"/>
    <n v="0"/>
    <n v="0"/>
    <n v="0"/>
    <n v="0"/>
    <x v="0"/>
    <n v="0"/>
  </r>
  <r>
    <s v="ti.14382"/>
    <x v="0"/>
    <x v="0"/>
    <x v="4"/>
    <s v="足柄下郡箱根町"/>
    <x v="57"/>
    <x v="4"/>
    <x v="4"/>
    <x v="4"/>
    <x v="4"/>
    <n v="1"/>
    <n v="0.13"/>
    <n v="0"/>
    <n v="0"/>
    <n v="1"/>
    <n v="0.22"/>
    <x v="0"/>
    <n v="0"/>
  </r>
  <r>
    <s v="ti.14382"/>
    <x v="0"/>
    <x v="0"/>
    <x v="4"/>
    <s v="足柄下郡箱根町"/>
    <x v="57"/>
    <x v="5"/>
    <x v="5"/>
    <x v="5"/>
    <x v="5"/>
    <n v="8"/>
    <n v="1.05"/>
    <n v="0"/>
    <n v="0"/>
    <n v="6"/>
    <n v="1.33"/>
    <x v="13"/>
    <n v="33.33"/>
  </r>
  <r>
    <s v="ti.14382"/>
    <x v="0"/>
    <x v="0"/>
    <x v="4"/>
    <s v="足柄下郡箱根町"/>
    <x v="57"/>
    <x v="6"/>
    <x v="6"/>
    <x v="6"/>
    <x v="6"/>
    <n v="149"/>
    <n v="19.55"/>
    <n v="58"/>
    <n v="19.02"/>
    <n v="91"/>
    <n v="20.18"/>
    <x v="0"/>
    <n v="0"/>
  </r>
  <r>
    <s v="ti.14382"/>
    <x v="0"/>
    <x v="0"/>
    <x v="4"/>
    <s v="足柄下郡箱根町"/>
    <x v="57"/>
    <x v="7"/>
    <x v="7"/>
    <x v="7"/>
    <x v="7"/>
    <n v="1"/>
    <n v="0.13"/>
    <n v="0"/>
    <n v="0"/>
    <n v="1"/>
    <n v="0.22"/>
    <x v="0"/>
    <n v="0"/>
  </r>
  <r>
    <s v="ti.14382"/>
    <x v="0"/>
    <x v="0"/>
    <x v="4"/>
    <s v="足柄下郡箱根町"/>
    <x v="57"/>
    <x v="8"/>
    <x v="8"/>
    <x v="8"/>
    <x v="8"/>
    <n v="90"/>
    <n v="11.81"/>
    <n v="37"/>
    <n v="12.13"/>
    <n v="52"/>
    <n v="11.53"/>
    <x v="14"/>
    <n v="16.670000000000002"/>
  </r>
  <r>
    <s v="ti.14382"/>
    <x v="0"/>
    <x v="0"/>
    <x v="4"/>
    <s v="足柄下郡箱根町"/>
    <x v="57"/>
    <x v="9"/>
    <x v="9"/>
    <x v="9"/>
    <x v="9"/>
    <n v="16"/>
    <n v="2.1"/>
    <n v="3"/>
    <n v="0.98"/>
    <n v="13"/>
    <n v="2.88"/>
    <x v="0"/>
    <n v="0"/>
  </r>
  <r>
    <s v="ti.14382"/>
    <x v="0"/>
    <x v="0"/>
    <x v="4"/>
    <s v="足柄下郡箱根町"/>
    <x v="57"/>
    <x v="10"/>
    <x v="10"/>
    <x v="10"/>
    <x v="10"/>
    <n v="300"/>
    <n v="39.369999999999997"/>
    <n v="117"/>
    <n v="38.36"/>
    <n v="182"/>
    <n v="40.35"/>
    <x v="14"/>
    <n v="16.670000000000002"/>
  </r>
  <r>
    <s v="ti.14382"/>
    <x v="0"/>
    <x v="0"/>
    <x v="4"/>
    <s v="足柄下郡箱根町"/>
    <x v="57"/>
    <x v="11"/>
    <x v="11"/>
    <x v="11"/>
    <x v="11"/>
    <n v="49"/>
    <n v="6.43"/>
    <n v="34"/>
    <n v="11.15"/>
    <n v="14"/>
    <n v="3.1"/>
    <x v="14"/>
    <n v="16.670000000000002"/>
  </r>
  <r>
    <s v="ti.14382"/>
    <x v="0"/>
    <x v="0"/>
    <x v="4"/>
    <s v="足柄下郡箱根町"/>
    <x v="57"/>
    <x v="12"/>
    <x v="12"/>
    <x v="12"/>
    <x v="12"/>
    <n v="12"/>
    <n v="1.57"/>
    <n v="6"/>
    <n v="1.97"/>
    <n v="6"/>
    <n v="1.33"/>
    <x v="0"/>
    <n v="0"/>
  </r>
  <r>
    <s v="ti.14382"/>
    <x v="0"/>
    <x v="0"/>
    <x v="4"/>
    <s v="足柄下郡箱根町"/>
    <x v="57"/>
    <x v="13"/>
    <x v="13"/>
    <x v="13"/>
    <x v="13"/>
    <n v="11"/>
    <n v="1.44"/>
    <n v="11"/>
    <n v="3.61"/>
    <n v="0"/>
    <n v="0"/>
    <x v="0"/>
    <n v="0"/>
  </r>
  <r>
    <s v="ti.14382"/>
    <x v="0"/>
    <x v="0"/>
    <x v="4"/>
    <s v="足柄下郡箱根町"/>
    <x v="57"/>
    <x v="14"/>
    <x v="14"/>
    <x v="14"/>
    <x v="14"/>
    <n v="19"/>
    <n v="2.4900000000000002"/>
    <n v="5"/>
    <n v="1.64"/>
    <n v="13"/>
    <n v="2.88"/>
    <x v="14"/>
    <n v="16.670000000000002"/>
  </r>
  <r>
    <s v="ti.14383"/>
    <x v="0"/>
    <x v="0"/>
    <x v="4"/>
    <s v="足柄下郡真鶴町"/>
    <x v="58"/>
    <x v="0"/>
    <x v="0"/>
    <x v="0"/>
    <x v="0"/>
    <n v="5"/>
    <n v="2.33"/>
    <n v="0"/>
    <n v="0"/>
    <n v="5"/>
    <n v="5.81"/>
    <x v="0"/>
    <m/>
  </r>
  <r>
    <s v="ti.14383"/>
    <x v="0"/>
    <x v="0"/>
    <x v="4"/>
    <s v="足柄下郡真鶴町"/>
    <x v="58"/>
    <x v="1"/>
    <x v="1"/>
    <x v="1"/>
    <x v="1"/>
    <n v="27"/>
    <n v="12.56"/>
    <n v="9"/>
    <n v="6.98"/>
    <n v="18"/>
    <n v="20.93"/>
    <x v="0"/>
    <m/>
  </r>
  <r>
    <s v="ti.14383"/>
    <x v="0"/>
    <x v="0"/>
    <x v="4"/>
    <s v="足柄下郡真鶴町"/>
    <x v="58"/>
    <x v="2"/>
    <x v="2"/>
    <x v="2"/>
    <x v="2"/>
    <n v="18"/>
    <n v="8.3699999999999992"/>
    <n v="3"/>
    <n v="2.33"/>
    <n v="15"/>
    <n v="17.440000000000001"/>
    <x v="0"/>
    <m/>
  </r>
  <r>
    <s v="ti.14383"/>
    <x v="0"/>
    <x v="0"/>
    <x v="4"/>
    <s v="足柄下郡真鶴町"/>
    <x v="58"/>
    <x v="3"/>
    <x v="3"/>
    <x v="3"/>
    <x v="3"/>
    <n v="0"/>
    <n v="0"/>
    <n v="0"/>
    <n v="0"/>
    <n v="0"/>
    <n v="0"/>
    <x v="0"/>
    <m/>
  </r>
  <r>
    <s v="ti.14383"/>
    <x v="0"/>
    <x v="0"/>
    <x v="4"/>
    <s v="足柄下郡真鶴町"/>
    <x v="58"/>
    <x v="4"/>
    <x v="4"/>
    <x v="4"/>
    <x v="4"/>
    <n v="4"/>
    <n v="1.86"/>
    <n v="2"/>
    <n v="1.55"/>
    <n v="2"/>
    <n v="2.33"/>
    <x v="0"/>
    <m/>
  </r>
  <r>
    <s v="ti.14383"/>
    <x v="0"/>
    <x v="0"/>
    <x v="4"/>
    <s v="足柄下郡真鶴町"/>
    <x v="58"/>
    <x v="5"/>
    <x v="5"/>
    <x v="5"/>
    <x v="5"/>
    <n v="1"/>
    <n v="0.47"/>
    <n v="0"/>
    <n v="0"/>
    <n v="1"/>
    <n v="1.1599999999999999"/>
    <x v="0"/>
    <m/>
  </r>
  <r>
    <s v="ti.14383"/>
    <x v="0"/>
    <x v="0"/>
    <x v="4"/>
    <s v="足柄下郡真鶴町"/>
    <x v="58"/>
    <x v="6"/>
    <x v="6"/>
    <x v="6"/>
    <x v="6"/>
    <n v="52"/>
    <n v="24.19"/>
    <n v="32"/>
    <n v="24.81"/>
    <n v="20"/>
    <n v="23.26"/>
    <x v="0"/>
    <m/>
  </r>
  <r>
    <s v="ti.14383"/>
    <x v="0"/>
    <x v="0"/>
    <x v="4"/>
    <s v="足柄下郡真鶴町"/>
    <x v="58"/>
    <x v="7"/>
    <x v="7"/>
    <x v="7"/>
    <x v="7"/>
    <n v="1"/>
    <n v="0.47"/>
    <n v="0"/>
    <n v="0"/>
    <n v="1"/>
    <n v="1.1599999999999999"/>
    <x v="0"/>
    <m/>
  </r>
  <r>
    <s v="ti.14383"/>
    <x v="0"/>
    <x v="0"/>
    <x v="4"/>
    <s v="足柄下郡真鶴町"/>
    <x v="58"/>
    <x v="8"/>
    <x v="8"/>
    <x v="8"/>
    <x v="8"/>
    <n v="24"/>
    <n v="11.16"/>
    <n v="18"/>
    <n v="13.95"/>
    <n v="6"/>
    <n v="6.98"/>
    <x v="0"/>
    <m/>
  </r>
  <r>
    <s v="ti.14383"/>
    <x v="0"/>
    <x v="0"/>
    <x v="4"/>
    <s v="足柄下郡真鶴町"/>
    <x v="58"/>
    <x v="9"/>
    <x v="9"/>
    <x v="9"/>
    <x v="9"/>
    <n v="2"/>
    <n v="0.93"/>
    <n v="1"/>
    <n v="0.78"/>
    <n v="1"/>
    <n v="1.1599999999999999"/>
    <x v="0"/>
    <m/>
  </r>
  <r>
    <s v="ti.14383"/>
    <x v="0"/>
    <x v="0"/>
    <x v="4"/>
    <s v="足柄下郡真鶴町"/>
    <x v="58"/>
    <x v="10"/>
    <x v="10"/>
    <x v="10"/>
    <x v="10"/>
    <n v="44"/>
    <n v="20.47"/>
    <n v="38"/>
    <n v="29.46"/>
    <n v="6"/>
    <n v="6.98"/>
    <x v="0"/>
    <m/>
  </r>
  <r>
    <s v="ti.14383"/>
    <x v="0"/>
    <x v="0"/>
    <x v="4"/>
    <s v="足柄下郡真鶴町"/>
    <x v="58"/>
    <x v="11"/>
    <x v="11"/>
    <x v="11"/>
    <x v="11"/>
    <n v="26"/>
    <n v="12.09"/>
    <n v="20"/>
    <n v="15.5"/>
    <n v="6"/>
    <n v="6.98"/>
    <x v="0"/>
    <m/>
  </r>
  <r>
    <s v="ti.14383"/>
    <x v="0"/>
    <x v="0"/>
    <x v="4"/>
    <s v="足柄下郡真鶴町"/>
    <x v="58"/>
    <x v="12"/>
    <x v="12"/>
    <x v="12"/>
    <x v="12"/>
    <n v="1"/>
    <n v="0.47"/>
    <n v="1"/>
    <n v="0.78"/>
    <n v="0"/>
    <n v="0"/>
    <x v="0"/>
    <m/>
  </r>
  <r>
    <s v="ti.14383"/>
    <x v="0"/>
    <x v="0"/>
    <x v="4"/>
    <s v="足柄下郡真鶴町"/>
    <x v="58"/>
    <x v="13"/>
    <x v="13"/>
    <x v="13"/>
    <x v="13"/>
    <n v="7"/>
    <n v="3.26"/>
    <n v="4"/>
    <n v="3.1"/>
    <n v="3"/>
    <n v="3.49"/>
    <x v="0"/>
    <m/>
  </r>
  <r>
    <s v="ti.14383"/>
    <x v="0"/>
    <x v="0"/>
    <x v="4"/>
    <s v="足柄下郡真鶴町"/>
    <x v="58"/>
    <x v="14"/>
    <x v="14"/>
    <x v="14"/>
    <x v="14"/>
    <n v="3"/>
    <n v="1.4"/>
    <n v="1"/>
    <n v="0.78"/>
    <n v="2"/>
    <n v="2.33"/>
    <x v="0"/>
    <m/>
  </r>
  <r>
    <s v="ti.14384"/>
    <x v="0"/>
    <x v="0"/>
    <x v="4"/>
    <s v="足柄下郡湯河原町"/>
    <x v="59"/>
    <x v="0"/>
    <x v="0"/>
    <x v="0"/>
    <x v="0"/>
    <n v="0"/>
    <n v="0"/>
    <n v="0"/>
    <n v="0"/>
    <n v="0"/>
    <n v="0"/>
    <x v="0"/>
    <m/>
  </r>
  <r>
    <s v="ti.14384"/>
    <x v="0"/>
    <x v="0"/>
    <x v="4"/>
    <s v="足柄下郡湯河原町"/>
    <x v="59"/>
    <x v="1"/>
    <x v="1"/>
    <x v="1"/>
    <x v="1"/>
    <n v="115"/>
    <n v="13.99"/>
    <n v="37"/>
    <n v="7.33"/>
    <n v="78"/>
    <n v="24.61"/>
    <x v="0"/>
    <m/>
  </r>
  <r>
    <s v="ti.14384"/>
    <x v="0"/>
    <x v="0"/>
    <x v="4"/>
    <s v="足柄下郡湯河原町"/>
    <x v="59"/>
    <x v="2"/>
    <x v="2"/>
    <x v="2"/>
    <x v="2"/>
    <n v="24"/>
    <n v="2.92"/>
    <n v="12"/>
    <n v="2.38"/>
    <n v="12"/>
    <n v="3.79"/>
    <x v="0"/>
    <m/>
  </r>
  <r>
    <s v="ti.14384"/>
    <x v="0"/>
    <x v="0"/>
    <x v="4"/>
    <s v="足柄下郡湯河原町"/>
    <x v="59"/>
    <x v="3"/>
    <x v="3"/>
    <x v="3"/>
    <x v="3"/>
    <n v="0"/>
    <n v="0"/>
    <n v="0"/>
    <n v="0"/>
    <n v="0"/>
    <n v="0"/>
    <x v="0"/>
    <m/>
  </r>
  <r>
    <s v="ti.14384"/>
    <x v="0"/>
    <x v="0"/>
    <x v="4"/>
    <s v="足柄下郡湯河原町"/>
    <x v="59"/>
    <x v="4"/>
    <x v="4"/>
    <x v="4"/>
    <x v="4"/>
    <n v="4"/>
    <n v="0.49"/>
    <n v="0"/>
    <n v="0"/>
    <n v="4"/>
    <n v="1.26"/>
    <x v="0"/>
    <m/>
  </r>
  <r>
    <s v="ti.14384"/>
    <x v="0"/>
    <x v="0"/>
    <x v="4"/>
    <s v="足柄下郡湯河原町"/>
    <x v="59"/>
    <x v="5"/>
    <x v="5"/>
    <x v="5"/>
    <x v="5"/>
    <n v="6"/>
    <n v="0.73"/>
    <n v="1"/>
    <n v="0.2"/>
    <n v="5"/>
    <n v="1.58"/>
    <x v="0"/>
    <m/>
  </r>
  <r>
    <s v="ti.14384"/>
    <x v="0"/>
    <x v="0"/>
    <x v="4"/>
    <s v="足柄下郡湯河原町"/>
    <x v="59"/>
    <x v="6"/>
    <x v="6"/>
    <x v="6"/>
    <x v="6"/>
    <n v="198"/>
    <n v="24.09"/>
    <n v="111"/>
    <n v="21.98"/>
    <n v="87"/>
    <n v="27.44"/>
    <x v="0"/>
    <m/>
  </r>
  <r>
    <s v="ti.14384"/>
    <x v="0"/>
    <x v="0"/>
    <x v="4"/>
    <s v="足柄下郡湯河原町"/>
    <x v="59"/>
    <x v="7"/>
    <x v="7"/>
    <x v="7"/>
    <x v="7"/>
    <n v="3"/>
    <n v="0.36"/>
    <n v="0"/>
    <n v="0"/>
    <n v="3"/>
    <n v="0.95"/>
    <x v="0"/>
    <m/>
  </r>
  <r>
    <s v="ti.14384"/>
    <x v="0"/>
    <x v="0"/>
    <x v="4"/>
    <s v="足柄下郡湯河原町"/>
    <x v="59"/>
    <x v="8"/>
    <x v="8"/>
    <x v="8"/>
    <x v="8"/>
    <n v="96"/>
    <n v="11.68"/>
    <n v="60"/>
    <n v="11.88"/>
    <n v="36"/>
    <n v="11.36"/>
    <x v="0"/>
    <m/>
  </r>
  <r>
    <s v="ti.14384"/>
    <x v="0"/>
    <x v="0"/>
    <x v="4"/>
    <s v="足柄下郡湯河原町"/>
    <x v="59"/>
    <x v="9"/>
    <x v="9"/>
    <x v="9"/>
    <x v="9"/>
    <n v="27"/>
    <n v="3.28"/>
    <n v="12"/>
    <n v="2.38"/>
    <n v="15"/>
    <n v="4.7300000000000004"/>
    <x v="0"/>
    <m/>
  </r>
  <r>
    <s v="ti.14384"/>
    <x v="0"/>
    <x v="0"/>
    <x v="4"/>
    <s v="足柄下郡湯河原町"/>
    <x v="59"/>
    <x v="10"/>
    <x v="10"/>
    <x v="10"/>
    <x v="10"/>
    <n v="171"/>
    <n v="20.8"/>
    <n v="134"/>
    <n v="26.53"/>
    <n v="37"/>
    <n v="11.67"/>
    <x v="0"/>
    <m/>
  </r>
  <r>
    <s v="ti.14384"/>
    <x v="0"/>
    <x v="0"/>
    <x v="4"/>
    <s v="足柄下郡湯河原町"/>
    <x v="59"/>
    <x v="11"/>
    <x v="11"/>
    <x v="11"/>
    <x v="11"/>
    <n v="103"/>
    <n v="12.53"/>
    <n v="87"/>
    <n v="17.23"/>
    <n v="16"/>
    <n v="5.05"/>
    <x v="0"/>
    <m/>
  </r>
  <r>
    <s v="ti.14384"/>
    <x v="0"/>
    <x v="0"/>
    <x v="4"/>
    <s v="足柄下郡湯河原町"/>
    <x v="59"/>
    <x v="12"/>
    <x v="12"/>
    <x v="12"/>
    <x v="12"/>
    <n v="21"/>
    <n v="2.5499999999999998"/>
    <n v="13"/>
    <n v="2.57"/>
    <n v="8"/>
    <n v="2.52"/>
    <x v="0"/>
    <m/>
  </r>
  <r>
    <s v="ti.14384"/>
    <x v="0"/>
    <x v="0"/>
    <x v="4"/>
    <s v="足柄下郡湯河原町"/>
    <x v="59"/>
    <x v="13"/>
    <x v="13"/>
    <x v="13"/>
    <x v="13"/>
    <n v="34"/>
    <n v="4.1399999999999997"/>
    <n v="28"/>
    <n v="5.54"/>
    <n v="6"/>
    <n v="1.89"/>
    <x v="0"/>
    <m/>
  </r>
  <r>
    <s v="ti.14384"/>
    <x v="0"/>
    <x v="0"/>
    <x v="4"/>
    <s v="足柄下郡湯河原町"/>
    <x v="59"/>
    <x v="14"/>
    <x v="14"/>
    <x v="14"/>
    <x v="14"/>
    <n v="20"/>
    <n v="2.4300000000000002"/>
    <n v="10"/>
    <n v="1.98"/>
    <n v="10"/>
    <n v="3.15"/>
    <x v="0"/>
    <m/>
  </r>
  <r>
    <s v="ti.14401"/>
    <x v="0"/>
    <x v="0"/>
    <x v="4"/>
    <s v="愛甲郡愛川町"/>
    <x v="60"/>
    <x v="0"/>
    <x v="0"/>
    <x v="0"/>
    <x v="0"/>
    <n v="0"/>
    <n v="0"/>
    <n v="0"/>
    <n v="0"/>
    <n v="0"/>
    <n v="0"/>
    <x v="0"/>
    <m/>
  </r>
  <r>
    <s v="ti.14401"/>
    <x v="0"/>
    <x v="0"/>
    <x v="4"/>
    <s v="愛甲郡愛川町"/>
    <x v="60"/>
    <x v="1"/>
    <x v="1"/>
    <x v="1"/>
    <x v="1"/>
    <n v="216"/>
    <n v="22.18"/>
    <n v="69"/>
    <n v="14.94"/>
    <n v="147"/>
    <n v="28.71"/>
    <x v="0"/>
    <m/>
  </r>
  <r>
    <s v="ti.14401"/>
    <x v="0"/>
    <x v="0"/>
    <x v="4"/>
    <s v="愛甲郡愛川町"/>
    <x v="60"/>
    <x v="2"/>
    <x v="2"/>
    <x v="2"/>
    <x v="2"/>
    <n v="169"/>
    <n v="17.350000000000001"/>
    <n v="55"/>
    <n v="11.9"/>
    <n v="114"/>
    <n v="22.27"/>
    <x v="0"/>
    <m/>
  </r>
  <r>
    <s v="ti.14401"/>
    <x v="0"/>
    <x v="0"/>
    <x v="4"/>
    <s v="愛甲郡愛川町"/>
    <x v="60"/>
    <x v="3"/>
    <x v="3"/>
    <x v="3"/>
    <x v="3"/>
    <n v="0"/>
    <n v="0"/>
    <n v="0"/>
    <n v="0"/>
    <n v="0"/>
    <n v="0"/>
    <x v="0"/>
    <m/>
  </r>
  <r>
    <s v="ti.14401"/>
    <x v="0"/>
    <x v="0"/>
    <x v="4"/>
    <s v="愛甲郡愛川町"/>
    <x v="60"/>
    <x v="4"/>
    <x v="4"/>
    <x v="4"/>
    <x v="4"/>
    <n v="1"/>
    <n v="0.1"/>
    <n v="0"/>
    <n v="0"/>
    <n v="1"/>
    <n v="0.2"/>
    <x v="0"/>
    <m/>
  </r>
  <r>
    <s v="ti.14401"/>
    <x v="0"/>
    <x v="0"/>
    <x v="4"/>
    <s v="愛甲郡愛川町"/>
    <x v="60"/>
    <x v="5"/>
    <x v="5"/>
    <x v="5"/>
    <x v="5"/>
    <n v="15"/>
    <n v="1.54"/>
    <n v="3"/>
    <n v="0.65"/>
    <n v="12"/>
    <n v="2.34"/>
    <x v="0"/>
    <m/>
  </r>
  <r>
    <s v="ti.14401"/>
    <x v="0"/>
    <x v="0"/>
    <x v="4"/>
    <s v="愛甲郡愛川町"/>
    <x v="60"/>
    <x v="6"/>
    <x v="6"/>
    <x v="6"/>
    <x v="6"/>
    <n v="165"/>
    <n v="16.940000000000001"/>
    <n v="77"/>
    <n v="16.670000000000002"/>
    <n v="88"/>
    <n v="17.190000000000001"/>
    <x v="0"/>
    <m/>
  </r>
  <r>
    <s v="ti.14401"/>
    <x v="0"/>
    <x v="0"/>
    <x v="4"/>
    <s v="愛甲郡愛川町"/>
    <x v="60"/>
    <x v="7"/>
    <x v="7"/>
    <x v="7"/>
    <x v="7"/>
    <n v="3"/>
    <n v="0.31"/>
    <n v="1"/>
    <n v="0.22"/>
    <n v="2"/>
    <n v="0.39"/>
    <x v="0"/>
    <m/>
  </r>
  <r>
    <s v="ti.14401"/>
    <x v="0"/>
    <x v="0"/>
    <x v="4"/>
    <s v="愛甲郡愛川町"/>
    <x v="60"/>
    <x v="8"/>
    <x v="8"/>
    <x v="8"/>
    <x v="8"/>
    <n v="72"/>
    <n v="7.39"/>
    <n v="26"/>
    <n v="5.63"/>
    <n v="46"/>
    <n v="8.98"/>
    <x v="0"/>
    <m/>
  </r>
  <r>
    <s v="ti.14401"/>
    <x v="0"/>
    <x v="0"/>
    <x v="4"/>
    <s v="愛甲郡愛川町"/>
    <x v="60"/>
    <x v="9"/>
    <x v="9"/>
    <x v="9"/>
    <x v="9"/>
    <n v="35"/>
    <n v="3.59"/>
    <n v="18"/>
    <n v="3.9"/>
    <n v="17"/>
    <n v="3.32"/>
    <x v="0"/>
    <m/>
  </r>
  <r>
    <s v="ti.14401"/>
    <x v="0"/>
    <x v="0"/>
    <x v="4"/>
    <s v="愛甲郡愛川町"/>
    <x v="60"/>
    <x v="10"/>
    <x v="10"/>
    <x v="10"/>
    <x v="10"/>
    <n v="117"/>
    <n v="12.01"/>
    <n v="92"/>
    <n v="19.91"/>
    <n v="25"/>
    <n v="4.88"/>
    <x v="0"/>
    <m/>
  </r>
  <r>
    <s v="ti.14401"/>
    <x v="0"/>
    <x v="0"/>
    <x v="4"/>
    <s v="愛甲郡愛川町"/>
    <x v="60"/>
    <x v="11"/>
    <x v="11"/>
    <x v="11"/>
    <x v="11"/>
    <n v="80"/>
    <n v="8.2100000000000009"/>
    <n v="68"/>
    <n v="14.72"/>
    <n v="12"/>
    <n v="2.34"/>
    <x v="0"/>
    <m/>
  </r>
  <r>
    <s v="ti.14401"/>
    <x v="0"/>
    <x v="0"/>
    <x v="4"/>
    <s v="愛甲郡愛川町"/>
    <x v="60"/>
    <x v="12"/>
    <x v="12"/>
    <x v="12"/>
    <x v="12"/>
    <n v="27"/>
    <n v="2.77"/>
    <n v="18"/>
    <n v="3.9"/>
    <n v="9"/>
    <n v="1.76"/>
    <x v="0"/>
    <m/>
  </r>
  <r>
    <s v="ti.14401"/>
    <x v="0"/>
    <x v="0"/>
    <x v="4"/>
    <s v="愛甲郡愛川町"/>
    <x v="60"/>
    <x v="13"/>
    <x v="13"/>
    <x v="13"/>
    <x v="13"/>
    <n v="24"/>
    <n v="2.46"/>
    <n v="18"/>
    <n v="3.9"/>
    <n v="6"/>
    <n v="1.17"/>
    <x v="0"/>
    <m/>
  </r>
  <r>
    <s v="ti.14401"/>
    <x v="0"/>
    <x v="0"/>
    <x v="4"/>
    <s v="愛甲郡愛川町"/>
    <x v="60"/>
    <x v="14"/>
    <x v="14"/>
    <x v="14"/>
    <x v="14"/>
    <n v="50"/>
    <n v="5.13"/>
    <n v="17"/>
    <n v="3.68"/>
    <n v="33"/>
    <n v="6.45"/>
    <x v="0"/>
    <m/>
  </r>
  <r>
    <s v="ti.14402"/>
    <x v="0"/>
    <x v="0"/>
    <x v="4"/>
    <s v="愛甲郡清川村"/>
    <x v="61"/>
    <x v="0"/>
    <x v="0"/>
    <x v="0"/>
    <x v="0"/>
    <n v="0"/>
    <n v="0"/>
    <n v="0"/>
    <n v="0"/>
    <n v="0"/>
    <n v="0"/>
    <x v="0"/>
    <n v="0"/>
  </r>
  <r>
    <s v="ti.14402"/>
    <x v="0"/>
    <x v="0"/>
    <x v="4"/>
    <s v="愛甲郡清川村"/>
    <x v="61"/>
    <x v="1"/>
    <x v="1"/>
    <x v="1"/>
    <x v="1"/>
    <n v="17"/>
    <n v="20.239999999999998"/>
    <n v="5"/>
    <n v="12.2"/>
    <n v="12"/>
    <n v="28.57"/>
    <x v="0"/>
    <n v="0"/>
  </r>
  <r>
    <s v="ti.14402"/>
    <x v="0"/>
    <x v="0"/>
    <x v="4"/>
    <s v="愛甲郡清川村"/>
    <x v="61"/>
    <x v="2"/>
    <x v="2"/>
    <x v="2"/>
    <x v="2"/>
    <n v="10"/>
    <n v="11.9"/>
    <n v="3"/>
    <n v="7.32"/>
    <n v="7"/>
    <n v="16.670000000000002"/>
    <x v="0"/>
    <n v="0"/>
  </r>
  <r>
    <s v="ti.14402"/>
    <x v="0"/>
    <x v="0"/>
    <x v="4"/>
    <s v="愛甲郡清川村"/>
    <x v="61"/>
    <x v="3"/>
    <x v="3"/>
    <x v="3"/>
    <x v="3"/>
    <n v="0"/>
    <n v="0"/>
    <n v="0"/>
    <n v="0"/>
    <n v="0"/>
    <n v="0"/>
    <x v="0"/>
    <n v="0"/>
  </r>
  <r>
    <s v="ti.14402"/>
    <x v="0"/>
    <x v="0"/>
    <x v="4"/>
    <s v="愛甲郡清川村"/>
    <x v="61"/>
    <x v="4"/>
    <x v="4"/>
    <x v="4"/>
    <x v="4"/>
    <n v="0"/>
    <n v="0"/>
    <n v="0"/>
    <n v="0"/>
    <n v="0"/>
    <n v="0"/>
    <x v="0"/>
    <n v="0"/>
  </r>
  <r>
    <s v="ti.14402"/>
    <x v="0"/>
    <x v="0"/>
    <x v="4"/>
    <s v="愛甲郡清川村"/>
    <x v="61"/>
    <x v="5"/>
    <x v="5"/>
    <x v="5"/>
    <x v="5"/>
    <n v="0"/>
    <n v="0"/>
    <n v="0"/>
    <n v="0"/>
    <n v="0"/>
    <n v="0"/>
    <x v="0"/>
    <n v="0"/>
  </r>
  <r>
    <s v="ti.14402"/>
    <x v="0"/>
    <x v="0"/>
    <x v="4"/>
    <s v="愛甲郡清川村"/>
    <x v="61"/>
    <x v="6"/>
    <x v="6"/>
    <x v="6"/>
    <x v="6"/>
    <n v="17"/>
    <n v="20.239999999999998"/>
    <n v="10"/>
    <n v="24.39"/>
    <n v="7"/>
    <n v="16.670000000000002"/>
    <x v="0"/>
    <n v="0"/>
  </r>
  <r>
    <s v="ti.14402"/>
    <x v="0"/>
    <x v="0"/>
    <x v="4"/>
    <s v="愛甲郡清川村"/>
    <x v="61"/>
    <x v="7"/>
    <x v="7"/>
    <x v="7"/>
    <x v="7"/>
    <n v="1"/>
    <n v="1.19"/>
    <n v="0"/>
    <n v="0"/>
    <n v="1"/>
    <n v="2.38"/>
    <x v="0"/>
    <n v="0"/>
  </r>
  <r>
    <s v="ti.14402"/>
    <x v="0"/>
    <x v="0"/>
    <x v="4"/>
    <s v="愛甲郡清川村"/>
    <x v="61"/>
    <x v="8"/>
    <x v="8"/>
    <x v="8"/>
    <x v="8"/>
    <n v="4"/>
    <n v="4.76"/>
    <n v="0"/>
    <n v="0"/>
    <n v="4"/>
    <n v="9.52"/>
    <x v="0"/>
    <n v="0"/>
  </r>
  <r>
    <s v="ti.14402"/>
    <x v="0"/>
    <x v="0"/>
    <x v="4"/>
    <s v="愛甲郡清川村"/>
    <x v="61"/>
    <x v="9"/>
    <x v="9"/>
    <x v="9"/>
    <x v="9"/>
    <n v="1"/>
    <n v="1.19"/>
    <n v="0"/>
    <n v="0"/>
    <n v="1"/>
    <n v="2.38"/>
    <x v="0"/>
    <n v="0"/>
  </r>
  <r>
    <s v="ti.14402"/>
    <x v="0"/>
    <x v="0"/>
    <x v="4"/>
    <s v="愛甲郡清川村"/>
    <x v="61"/>
    <x v="10"/>
    <x v="10"/>
    <x v="10"/>
    <x v="10"/>
    <n v="13"/>
    <n v="15.48"/>
    <n v="10"/>
    <n v="24.39"/>
    <n v="3"/>
    <n v="7.14"/>
    <x v="0"/>
    <n v="0"/>
  </r>
  <r>
    <s v="ti.14402"/>
    <x v="0"/>
    <x v="0"/>
    <x v="4"/>
    <s v="愛甲郡清川村"/>
    <x v="61"/>
    <x v="11"/>
    <x v="11"/>
    <x v="11"/>
    <x v="11"/>
    <n v="7"/>
    <n v="8.33"/>
    <n v="5"/>
    <n v="12.2"/>
    <n v="2"/>
    <n v="4.76"/>
    <x v="0"/>
    <n v="0"/>
  </r>
  <r>
    <s v="ti.14402"/>
    <x v="0"/>
    <x v="0"/>
    <x v="4"/>
    <s v="愛甲郡清川村"/>
    <x v="61"/>
    <x v="12"/>
    <x v="12"/>
    <x v="12"/>
    <x v="12"/>
    <n v="4"/>
    <n v="4.76"/>
    <n v="3"/>
    <n v="7.32"/>
    <n v="1"/>
    <n v="2.38"/>
    <x v="0"/>
    <n v="0"/>
  </r>
  <r>
    <s v="ti.14402"/>
    <x v="0"/>
    <x v="0"/>
    <x v="4"/>
    <s v="愛甲郡清川村"/>
    <x v="61"/>
    <x v="13"/>
    <x v="13"/>
    <x v="13"/>
    <x v="13"/>
    <n v="5"/>
    <n v="5.95"/>
    <n v="4"/>
    <n v="9.76"/>
    <n v="1"/>
    <n v="2.38"/>
    <x v="0"/>
    <n v="0"/>
  </r>
  <r>
    <s v="ti.14402"/>
    <x v="0"/>
    <x v="0"/>
    <x v="4"/>
    <s v="愛甲郡清川村"/>
    <x v="61"/>
    <x v="14"/>
    <x v="14"/>
    <x v="14"/>
    <x v="14"/>
    <n v="5"/>
    <n v="5.95"/>
    <n v="1"/>
    <n v="2.44"/>
    <n v="3"/>
    <n v="7.14"/>
    <x v="14"/>
    <n v="1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7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4"/>
    <x v="4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5"/>
    <x v="5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4"/>
    <x v="4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6"/>
    <x v="6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7"/>
    <x v="7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5"/>
    <x v="5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5"/>
    <x v="5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5"/>
    <x v="5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5"/>
    <x v="5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5"/>
    <x v="5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8"/>
    <x v="8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4"/>
    <x v="4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9"/>
    <x v="9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5"/>
    <x v="5"/>
  </r>
  <r>
    <x v="1"/>
    <x v="0"/>
    <x v="0"/>
    <x v="1"/>
    <x v="1"/>
    <x v="1"/>
    <x v="0"/>
    <x v="0"/>
    <x v="0"/>
    <x v="0"/>
    <x v="0"/>
    <x v="20"/>
    <x v="20"/>
    <x v="20"/>
    <x v="20"/>
    <x v="20"/>
    <x v="20"/>
    <x v="6"/>
    <x v="10"/>
  </r>
  <r>
    <x v="1"/>
    <x v="0"/>
    <x v="0"/>
    <x v="1"/>
    <x v="1"/>
    <x v="1"/>
    <x v="1"/>
    <x v="1"/>
    <x v="1"/>
    <x v="1"/>
    <x v="1"/>
    <x v="21"/>
    <x v="21"/>
    <x v="21"/>
    <x v="21"/>
    <x v="21"/>
    <x v="21"/>
    <x v="2"/>
    <x v="11"/>
  </r>
  <r>
    <x v="1"/>
    <x v="0"/>
    <x v="0"/>
    <x v="1"/>
    <x v="1"/>
    <x v="1"/>
    <x v="2"/>
    <x v="2"/>
    <x v="2"/>
    <x v="2"/>
    <x v="2"/>
    <x v="22"/>
    <x v="22"/>
    <x v="22"/>
    <x v="22"/>
    <x v="22"/>
    <x v="22"/>
    <x v="8"/>
    <x v="12"/>
  </r>
  <r>
    <x v="1"/>
    <x v="0"/>
    <x v="0"/>
    <x v="1"/>
    <x v="1"/>
    <x v="1"/>
    <x v="3"/>
    <x v="3"/>
    <x v="3"/>
    <x v="3"/>
    <x v="3"/>
    <x v="23"/>
    <x v="23"/>
    <x v="23"/>
    <x v="23"/>
    <x v="23"/>
    <x v="23"/>
    <x v="10"/>
    <x v="13"/>
  </r>
  <r>
    <x v="1"/>
    <x v="0"/>
    <x v="0"/>
    <x v="1"/>
    <x v="1"/>
    <x v="1"/>
    <x v="4"/>
    <x v="4"/>
    <x v="4"/>
    <x v="4"/>
    <x v="4"/>
    <x v="24"/>
    <x v="24"/>
    <x v="24"/>
    <x v="24"/>
    <x v="24"/>
    <x v="24"/>
    <x v="4"/>
    <x v="14"/>
  </r>
  <r>
    <x v="1"/>
    <x v="0"/>
    <x v="0"/>
    <x v="1"/>
    <x v="1"/>
    <x v="1"/>
    <x v="5"/>
    <x v="5"/>
    <x v="5"/>
    <x v="5"/>
    <x v="5"/>
    <x v="25"/>
    <x v="25"/>
    <x v="25"/>
    <x v="25"/>
    <x v="25"/>
    <x v="25"/>
    <x v="5"/>
    <x v="5"/>
  </r>
  <r>
    <x v="1"/>
    <x v="0"/>
    <x v="0"/>
    <x v="1"/>
    <x v="1"/>
    <x v="1"/>
    <x v="6"/>
    <x v="6"/>
    <x v="6"/>
    <x v="6"/>
    <x v="6"/>
    <x v="26"/>
    <x v="26"/>
    <x v="26"/>
    <x v="26"/>
    <x v="26"/>
    <x v="26"/>
    <x v="5"/>
    <x v="5"/>
  </r>
  <r>
    <x v="1"/>
    <x v="0"/>
    <x v="0"/>
    <x v="1"/>
    <x v="1"/>
    <x v="1"/>
    <x v="7"/>
    <x v="7"/>
    <x v="7"/>
    <x v="7"/>
    <x v="7"/>
    <x v="27"/>
    <x v="27"/>
    <x v="27"/>
    <x v="27"/>
    <x v="27"/>
    <x v="27"/>
    <x v="8"/>
    <x v="12"/>
  </r>
  <r>
    <x v="1"/>
    <x v="0"/>
    <x v="0"/>
    <x v="1"/>
    <x v="1"/>
    <x v="1"/>
    <x v="8"/>
    <x v="8"/>
    <x v="8"/>
    <x v="8"/>
    <x v="8"/>
    <x v="28"/>
    <x v="28"/>
    <x v="28"/>
    <x v="28"/>
    <x v="28"/>
    <x v="28"/>
    <x v="5"/>
    <x v="5"/>
  </r>
  <r>
    <x v="1"/>
    <x v="0"/>
    <x v="0"/>
    <x v="1"/>
    <x v="1"/>
    <x v="1"/>
    <x v="10"/>
    <x v="10"/>
    <x v="10"/>
    <x v="10"/>
    <x v="9"/>
    <x v="29"/>
    <x v="29"/>
    <x v="29"/>
    <x v="29"/>
    <x v="29"/>
    <x v="29"/>
    <x v="4"/>
    <x v="14"/>
  </r>
  <r>
    <x v="1"/>
    <x v="0"/>
    <x v="0"/>
    <x v="1"/>
    <x v="1"/>
    <x v="1"/>
    <x v="9"/>
    <x v="9"/>
    <x v="9"/>
    <x v="9"/>
    <x v="10"/>
    <x v="30"/>
    <x v="30"/>
    <x v="30"/>
    <x v="30"/>
    <x v="30"/>
    <x v="30"/>
    <x v="10"/>
    <x v="13"/>
  </r>
  <r>
    <x v="1"/>
    <x v="0"/>
    <x v="0"/>
    <x v="1"/>
    <x v="1"/>
    <x v="1"/>
    <x v="11"/>
    <x v="11"/>
    <x v="11"/>
    <x v="11"/>
    <x v="11"/>
    <x v="31"/>
    <x v="31"/>
    <x v="31"/>
    <x v="31"/>
    <x v="31"/>
    <x v="31"/>
    <x v="5"/>
    <x v="5"/>
  </r>
  <r>
    <x v="1"/>
    <x v="0"/>
    <x v="0"/>
    <x v="1"/>
    <x v="1"/>
    <x v="1"/>
    <x v="13"/>
    <x v="13"/>
    <x v="13"/>
    <x v="13"/>
    <x v="12"/>
    <x v="32"/>
    <x v="32"/>
    <x v="32"/>
    <x v="32"/>
    <x v="32"/>
    <x v="32"/>
    <x v="5"/>
    <x v="5"/>
  </r>
  <r>
    <x v="1"/>
    <x v="0"/>
    <x v="0"/>
    <x v="1"/>
    <x v="1"/>
    <x v="1"/>
    <x v="14"/>
    <x v="14"/>
    <x v="14"/>
    <x v="14"/>
    <x v="13"/>
    <x v="33"/>
    <x v="33"/>
    <x v="33"/>
    <x v="33"/>
    <x v="33"/>
    <x v="33"/>
    <x v="5"/>
    <x v="5"/>
  </r>
  <r>
    <x v="1"/>
    <x v="0"/>
    <x v="0"/>
    <x v="1"/>
    <x v="1"/>
    <x v="1"/>
    <x v="12"/>
    <x v="12"/>
    <x v="12"/>
    <x v="12"/>
    <x v="14"/>
    <x v="34"/>
    <x v="34"/>
    <x v="34"/>
    <x v="34"/>
    <x v="34"/>
    <x v="34"/>
    <x v="5"/>
    <x v="5"/>
  </r>
  <r>
    <x v="1"/>
    <x v="0"/>
    <x v="0"/>
    <x v="1"/>
    <x v="1"/>
    <x v="1"/>
    <x v="16"/>
    <x v="16"/>
    <x v="16"/>
    <x v="16"/>
    <x v="15"/>
    <x v="35"/>
    <x v="35"/>
    <x v="35"/>
    <x v="35"/>
    <x v="35"/>
    <x v="35"/>
    <x v="5"/>
    <x v="5"/>
  </r>
  <r>
    <x v="1"/>
    <x v="0"/>
    <x v="0"/>
    <x v="1"/>
    <x v="1"/>
    <x v="1"/>
    <x v="18"/>
    <x v="18"/>
    <x v="18"/>
    <x v="18"/>
    <x v="16"/>
    <x v="36"/>
    <x v="36"/>
    <x v="36"/>
    <x v="36"/>
    <x v="36"/>
    <x v="36"/>
    <x v="11"/>
    <x v="15"/>
  </r>
  <r>
    <x v="1"/>
    <x v="0"/>
    <x v="0"/>
    <x v="1"/>
    <x v="1"/>
    <x v="1"/>
    <x v="15"/>
    <x v="15"/>
    <x v="15"/>
    <x v="15"/>
    <x v="17"/>
    <x v="37"/>
    <x v="37"/>
    <x v="37"/>
    <x v="37"/>
    <x v="37"/>
    <x v="37"/>
    <x v="5"/>
    <x v="5"/>
  </r>
  <r>
    <x v="1"/>
    <x v="0"/>
    <x v="0"/>
    <x v="1"/>
    <x v="1"/>
    <x v="1"/>
    <x v="20"/>
    <x v="20"/>
    <x v="20"/>
    <x v="20"/>
    <x v="18"/>
    <x v="38"/>
    <x v="38"/>
    <x v="38"/>
    <x v="38"/>
    <x v="38"/>
    <x v="38"/>
    <x v="4"/>
    <x v="14"/>
  </r>
  <r>
    <x v="1"/>
    <x v="0"/>
    <x v="0"/>
    <x v="1"/>
    <x v="1"/>
    <x v="1"/>
    <x v="17"/>
    <x v="17"/>
    <x v="17"/>
    <x v="17"/>
    <x v="19"/>
    <x v="39"/>
    <x v="39"/>
    <x v="39"/>
    <x v="39"/>
    <x v="39"/>
    <x v="39"/>
    <x v="5"/>
    <x v="5"/>
  </r>
  <r>
    <x v="2"/>
    <x v="0"/>
    <x v="0"/>
    <x v="2"/>
    <x v="2"/>
    <x v="2"/>
    <x v="1"/>
    <x v="1"/>
    <x v="1"/>
    <x v="1"/>
    <x v="0"/>
    <x v="40"/>
    <x v="40"/>
    <x v="40"/>
    <x v="40"/>
    <x v="40"/>
    <x v="40"/>
    <x v="5"/>
    <x v="5"/>
  </r>
  <r>
    <x v="2"/>
    <x v="0"/>
    <x v="0"/>
    <x v="2"/>
    <x v="2"/>
    <x v="2"/>
    <x v="2"/>
    <x v="2"/>
    <x v="2"/>
    <x v="2"/>
    <x v="1"/>
    <x v="41"/>
    <x v="41"/>
    <x v="41"/>
    <x v="41"/>
    <x v="41"/>
    <x v="41"/>
    <x v="5"/>
    <x v="5"/>
  </r>
  <r>
    <x v="2"/>
    <x v="0"/>
    <x v="0"/>
    <x v="2"/>
    <x v="2"/>
    <x v="2"/>
    <x v="0"/>
    <x v="0"/>
    <x v="0"/>
    <x v="0"/>
    <x v="2"/>
    <x v="42"/>
    <x v="42"/>
    <x v="42"/>
    <x v="42"/>
    <x v="42"/>
    <x v="42"/>
    <x v="8"/>
    <x v="16"/>
  </r>
  <r>
    <x v="2"/>
    <x v="0"/>
    <x v="0"/>
    <x v="2"/>
    <x v="2"/>
    <x v="2"/>
    <x v="3"/>
    <x v="3"/>
    <x v="3"/>
    <x v="3"/>
    <x v="3"/>
    <x v="43"/>
    <x v="43"/>
    <x v="43"/>
    <x v="43"/>
    <x v="43"/>
    <x v="43"/>
    <x v="5"/>
    <x v="5"/>
  </r>
  <r>
    <x v="2"/>
    <x v="0"/>
    <x v="0"/>
    <x v="2"/>
    <x v="2"/>
    <x v="2"/>
    <x v="8"/>
    <x v="8"/>
    <x v="8"/>
    <x v="8"/>
    <x v="4"/>
    <x v="44"/>
    <x v="44"/>
    <x v="44"/>
    <x v="44"/>
    <x v="44"/>
    <x v="44"/>
    <x v="5"/>
    <x v="5"/>
  </r>
  <r>
    <x v="2"/>
    <x v="0"/>
    <x v="0"/>
    <x v="2"/>
    <x v="2"/>
    <x v="2"/>
    <x v="5"/>
    <x v="5"/>
    <x v="5"/>
    <x v="5"/>
    <x v="5"/>
    <x v="45"/>
    <x v="45"/>
    <x v="45"/>
    <x v="45"/>
    <x v="45"/>
    <x v="45"/>
    <x v="5"/>
    <x v="5"/>
  </r>
  <r>
    <x v="2"/>
    <x v="0"/>
    <x v="0"/>
    <x v="2"/>
    <x v="2"/>
    <x v="2"/>
    <x v="6"/>
    <x v="6"/>
    <x v="6"/>
    <x v="6"/>
    <x v="6"/>
    <x v="46"/>
    <x v="46"/>
    <x v="46"/>
    <x v="46"/>
    <x v="46"/>
    <x v="46"/>
    <x v="5"/>
    <x v="5"/>
  </r>
  <r>
    <x v="2"/>
    <x v="0"/>
    <x v="0"/>
    <x v="2"/>
    <x v="2"/>
    <x v="2"/>
    <x v="4"/>
    <x v="4"/>
    <x v="4"/>
    <x v="4"/>
    <x v="7"/>
    <x v="47"/>
    <x v="47"/>
    <x v="35"/>
    <x v="47"/>
    <x v="47"/>
    <x v="47"/>
    <x v="5"/>
    <x v="5"/>
  </r>
  <r>
    <x v="2"/>
    <x v="0"/>
    <x v="0"/>
    <x v="2"/>
    <x v="2"/>
    <x v="2"/>
    <x v="7"/>
    <x v="7"/>
    <x v="7"/>
    <x v="7"/>
    <x v="8"/>
    <x v="48"/>
    <x v="48"/>
    <x v="47"/>
    <x v="48"/>
    <x v="48"/>
    <x v="48"/>
    <x v="5"/>
    <x v="5"/>
  </r>
  <r>
    <x v="2"/>
    <x v="0"/>
    <x v="0"/>
    <x v="2"/>
    <x v="2"/>
    <x v="2"/>
    <x v="9"/>
    <x v="9"/>
    <x v="9"/>
    <x v="9"/>
    <x v="9"/>
    <x v="49"/>
    <x v="49"/>
    <x v="48"/>
    <x v="49"/>
    <x v="49"/>
    <x v="49"/>
    <x v="5"/>
    <x v="5"/>
  </r>
  <r>
    <x v="2"/>
    <x v="0"/>
    <x v="0"/>
    <x v="2"/>
    <x v="2"/>
    <x v="2"/>
    <x v="15"/>
    <x v="15"/>
    <x v="15"/>
    <x v="15"/>
    <x v="10"/>
    <x v="50"/>
    <x v="50"/>
    <x v="49"/>
    <x v="50"/>
    <x v="50"/>
    <x v="50"/>
    <x v="5"/>
    <x v="5"/>
  </r>
  <r>
    <x v="2"/>
    <x v="0"/>
    <x v="0"/>
    <x v="2"/>
    <x v="2"/>
    <x v="2"/>
    <x v="11"/>
    <x v="11"/>
    <x v="11"/>
    <x v="11"/>
    <x v="10"/>
    <x v="50"/>
    <x v="50"/>
    <x v="50"/>
    <x v="51"/>
    <x v="51"/>
    <x v="51"/>
    <x v="5"/>
    <x v="5"/>
  </r>
  <r>
    <x v="2"/>
    <x v="0"/>
    <x v="0"/>
    <x v="2"/>
    <x v="2"/>
    <x v="2"/>
    <x v="12"/>
    <x v="12"/>
    <x v="12"/>
    <x v="12"/>
    <x v="12"/>
    <x v="51"/>
    <x v="51"/>
    <x v="51"/>
    <x v="52"/>
    <x v="52"/>
    <x v="9"/>
    <x v="5"/>
    <x v="5"/>
  </r>
  <r>
    <x v="2"/>
    <x v="0"/>
    <x v="0"/>
    <x v="2"/>
    <x v="2"/>
    <x v="2"/>
    <x v="19"/>
    <x v="19"/>
    <x v="19"/>
    <x v="19"/>
    <x v="13"/>
    <x v="52"/>
    <x v="52"/>
    <x v="49"/>
    <x v="50"/>
    <x v="53"/>
    <x v="52"/>
    <x v="5"/>
    <x v="5"/>
  </r>
  <r>
    <x v="2"/>
    <x v="0"/>
    <x v="0"/>
    <x v="2"/>
    <x v="2"/>
    <x v="2"/>
    <x v="10"/>
    <x v="10"/>
    <x v="10"/>
    <x v="10"/>
    <x v="14"/>
    <x v="53"/>
    <x v="53"/>
    <x v="52"/>
    <x v="53"/>
    <x v="54"/>
    <x v="53"/>
    <x v="5"/>
    <x v="5"/>
  </r>
  <r>
    <x v="2"/>
    <x v="0"/>
    <x v="0"/>
    <x v="2"/>
    <x v="2"/>
    <x v="2"/>
    <x v="13"/>
    <x v="13"/>
    <x v="13"/>
    <x v="13"/>
    <x v="15"/>
    <x v="54"/>
    <x v="54"/>
    <x v="53"/>
    <x v="39"/>
    <x v="55"/>
    <x v="54"/>
    <x v="5"/>
    <x v="5"/>
  </r>
  <r>
    <x v="2"/>
    <x v="0"/>
    <x v="0"/>
    <x v="2"/>
    <x v="2"/>
    <x v="2"/>
    <x v="14"/>
    <x v="14"/>
    <x v="14"/>
    <x v="14"/>
    <x v="16"/>
    <x v="55"/>
    <x v="55"/>
    <x v="54"/>
    <x v="54"/>
    <x v="56"/>
    <x v="55"/>
    <x v="5"/>
    <x v="5"/>
  </r>
  <r>
    <x v="2"/>
    <x v="0"/>
    <x v="0"/>
    <x v="2"/>
    <x v="2"/>
    <x v="2"/>
    <x v="21"/>
    <x v="21"/>
    <x v="21"/>
    <x v="21"/>
    <x v="17"/>
    <x v="56"/>
    <x v="56"/>
    <x v="55"/>
    <x v="55"/>
    <x v="57"/>
    <x v="56"/>
    <x v="5"/>
    <x v="5"/>
  </r>
  <r>
    <x v="2"/>
    <x v="0"/>
    <x v="0"/>
    <x v="2"/>
    <x v="2"/>
    <x v="2"/>
    <x v="16"/>
    <x v="16"/>
    <x v="16"/>
    <x v="16"/>
    <x v="18"/>
    <x v="57"/>
    <x v="57"/>
    <x v="56"/>
    <x v="56"/>
    <x v="58"/>
    <x v="57"/>
    <x v="5"/>
    <x v="5"/>
  </r>
  <r>
    <x v="2"/>
    <x v="0"/>
    <x v="0"/>
    <x v="2"/>
    <x v="2"/>
    <x v="2"/>
    <x v="20"/>
    <x v="20"/>
    <x v="20"/>
    <x v="20"/>
    <x v="19"/>
    <x v="58"/>
    <x v="58"/>
    <x v="57"/>
    <x v="57"/>
    <x v="59"/>
    <x v="58"/>
    <x v="5"/>
    <x v="5"/>
  </r>
  <r>
    <x v="3"/>
    <x v="0"/>
    <x v="0"/>
    <x v="2"/>
    <x v="3"/>
    <x v="3"/>
    <x v="0"/>
    <x v="0"/>
    <x v="0"/>
    <x v="0"/>
    <x v="0"/>
    <x v="59"/>
    <x v="59"/>
    <x v="58"/>
    <x v="58"/>
    <x v="60"/>
    <x v="59"/>
    <x v="8"/>
    <x v="17"/>
  </r>
  <r>
    <x v="3"/>
    <x v="0"/>
    <x v="0"/>
    <x v="2"/>
    <x v="3"/>
    <x v="3"/>
    <x v="1"/>
    <x v="1"/>
    <x v="1"/>
    <x v="1"/>
    <x v="1"/>
    <x v="60"/>
    <x v="60"/>
    <x v="59"/>
    <x v="59"/>
    <x v="61"/>
    <x v="60"/>
    <x v="5"/>
    <x v="5"/>
  </r>
  <r>
    <x v="3"/>
    <x v="0"/>
    <x v="0"/>
    <x v="2"/>
    <x v="3"/>
    <x v="3"/>
    <x v="2"/>
    <x v="2"/>
    <x v="2"/>
    <x v="2"/>
    <x v="2"/>
    <x v="61"/>
    <x v="61"/>
    <x v="60"/>
    <x v="60"/>
    <x v="62"/>
    <x v="61"/>
    <x v="5"/>
    <x v="5"/>
  </r>
  <r>
    <x v="3"/>
    <x v="0"/>
    <x v="0"/>
    <x v="2"/>
    <x v="3"/>
    <x v="3"/>
    <x v="3"/>
    <x v="3"/>
    <x v="3"/>
    <x v="3"/>
    <x v="3"/>
    <x v="62"/>
    <x v="62"/>
    <x v="61"/>
    <x v="61"/>
    <x v="63"/>
    <x v="62"/>
    <x v="5"/>
    <x v="5"/>
  </r>
  <r>
    <x v="3"/>
    <x v="0"/>
    <x v="0"/>
    <x v="2"/>
    <x v="3"/>
    <x v="3"/>
    <x v="5"/>
    <x v="5"/>
    <x v="5"/>
    <x v="5"/>
    <x v="4"/>
    <x v="63"/>
    <x v="63"/>
    <x v="62"/>
    <x v="34"/>
    <x v="64"/>
    <x v="63"/>
    <x v="5"/>
    <x v="5"/>
  </r>
  <r>
    <x v="3"/>
    <x v="0"/>
    <x v="0"/>
    <x v="2"/>
    <x v="3"/>
    <x v="3"/>
    <x v="8"/>
    <x v="8"/>
    <x v="8"/>
    <x v="8"/>
    <x v="5"/>
    <x v="64"/>
    <x v="64"/>
    <x v="63"/>
    <x v="62"/>
    <x v="65"/>
    <x v="64"/>
    <x v="5"/>
    <x v="5"/>
  </r>
  <r>
    <x v="3"/>
    <x v="0"/>
    <x v="0"/>
    <x v="2"/>
    <x v="3"/>
    <x v="3"/>
    <x v="6"/>
    <x v="6"/>
    <x v="6"/>
    <x v="6"/>
    <x v="6"/>
    <x v="65"/>
    <x v="65"/>
    <x v="64"/>
    <x v="63"/>
    <x v="66"/>
    <x v="65"/>
    <x v="5"/>
    <x v="5"/>
  </r>
  <r>
    <x v="3"/>
    <x v="0"/>
    <x v="0"/>
    <x v="2"/>
    <x v="3"/>
    <x v="3"/>
    <x v="7"/>
    <x v="7"/>
    <x v="7"/>
    <x v="7"/>
    <x v="7"/>
    <x v="66"/>
    <x v="66"/>
    <x v="65"/>
    <x v="64"/>
    <x v="67"/>
    <x v="66"/>
    <x v="5"/>
    <x v="5"/>
  </r>
  <r>
    <x v="3"/>
    <x v="0"/>
    <x v="0"/>
    <x v="2"/>
    <x v="3"/>
    <x v="3"/>
    <x v="4"/>
    <x v="4"/>
    <x v="4"/>
    <x v="4"/>
    <x v="8"/>
    <x v="67"/>
    <x v="67"/>
    <x v="66"/>
    <x v="65"/>
    <x v="68"/>
    <x v="67"/>
    <x v="5"/>
    <x v="5"/>
  </r>
  <r>
    <x v="3"/>
    <x v="0"/>
    <x v="0"/>
    <x v="2"/>
    <x v="3"/>
    <x v="3"/>
    <x v="10"/>
    <x v="10"/>
    <x v="10"/>
    <x v="10"/>
    <x v="9"/>
    <x v="68"/>
    <x v="68"/>
    <x v="67"/>
    <x v="66"/>
    <x v="69"/>
    <x v="68"/>
    <x v="5"/>
    <x v="5"/>
  </r>
  <r>
    <x v="3"/>
    <x v="0"/>
    <x v="0"/>
    <x v="2"/>
    <x v="3"/>
    <x v="3"/>
    <x v="9"/>
    <x v="9"/>
    <x v="9"/>
    <x v="9"/>
    <x v="10"/>
    <x v="69"/>
    <x v="69"/>
    <x v="68"/>
    <x v="67"/>
    <x v="70"/>
    <x v="69"/>
    <x v="5"/>
    <x v="5"/>
  </r>
  <r>
    <x v="3"/>
    <x v="0"/>
    <x v="0"/>
    <x v="2"/>
    <x v="3"/>
    <x v="3"/>
    <x v="13"/>
    <x v="13"/>
    <x v="13"/>
    <x v="13"/>
    <x v="11"/>
    <x v="70"/>
    <x v="70"/>
    <x v="69"/>
    <x v="68"/>
    <x v="71"/>
    <x v="70"/>
    <x v="5"/>
    <x v="5"/>
  </r>
  <r>
    <x v="3"/>
    <x v="0"/>
    <x v="0"/>
    <x v="2"/>
    <x v="3"/>
    <x v="3"/>
    <x v="14"/>
    <x v="14"/>
    <x v="14"/>
    <x v="14"/>
    <x v="12"/>
    <x v="71"/>
    <x v="71"/>
    <x v="49"/>
    <x v="44"/>
    <x v="72"/>
    <x v="71"/>
    <x v="5"/>
    <x v="5"/>
  </r>
  <r>
    <x v="3"/>
    <x v="0"/>
    <x v="0"/>
    <x v="2"/>
    <x v="3"/>
    <x v="3"/>
    <x v="11"/>
    <x v="11"/>
    <x v="11"/>
    <x v="11"/>
    <x v="13"/>
    <x v="56"/>
    <x v="52"/>
    <x v="70"/>
    <x v="69"/>
    <x v="73"/>
    <x v="72"/>
    <x v="5"/>
    <x v="5"/>
  </r>
  <r>
    <x v="3"/>
    <x v="0"/>
    <x v="0"/>
    <x v="2"/>
    <x v="3"/>
    <x v="3"/>
    <x v="22"/>
    <x v="22"/>
    <x v="22"/>
    <x v="22"/>
    <x v="14"/>
    <x v="72"/>
    <x v="53"/>
    <x v="71"/>
    <x v="18"/>
    <x v="74"/>
    <x v="73"/>
    <x v="5"/>
    <x v="5"/>
  </r>
  <r>
    <x v="3"/>
    <x v="0"/>
    <x v="0"/>
    <x v="2"/>
    <x v="3"/>
    <x v="3"/>
    <x v="12"/>
    <x v="12"/>
    <x v="12"/>
    <x v="12"/>
    <x v="15"/>
    <x v="73"/>
    <x v="72"/>
    <x v="72"/>
    <x v="70"/>
    <x v="75"/>
    <x v="74"/>
    <x v="5"/>
    <x v="5"/>
  </r>
  <r>
    <x v="3"/>
    <x v="0"/>
    <x v="0"/>
    <x v="2"/>
    <x v="3"/>
    <x v="3"/>
    <x v="18"/>
    <x v="18"/>
    <x v="18"/>
    <x v="18"/>
    <x v="16"/>
    <x v="74"/>
    <x v="73"/>
    <x v="71"/>
    <x v="18"/>
    <x v="76"/>
    <x v="75"/>
    <x v="4"/>
    <x v="18"/>
  </r>
  <r>
    <x v="3"/>
    <x v="0"/>
    <x v="0"/>
    <x v="2"/>
    <x v="3"/>
    <x v="3"/>
    <x v="16"/>
    <x v="16"/>
    <x v="16"/>
    <x v="16"/>
    <x v="17"/>
    <x v="75"/>
    <x v="74"/>
    <x v="56"/>
    <x v="56"/>
    <x v="57"/>
    <x v="29"/>
    <x v="5"/>
    <x v="5"/>
  </r>
  <r>
    <x v="3"/>
    <x v="0"/>
    <x v="0"/>
    <x v="2"/>
    <x v="3"/>
    <x v="3"/>
    <x v="23"/>
    <x v="23"/>
    <x v="23"/>
    <x v="23"/>
    <x v="18"/>
    <x v="76"/>
    <x v="75"/>
    <x v="56"/>
    <x v="56"/>
    <x v="77"/>
    <x v="76"/>
    <x v="12"/>
    <x v="19"/>
  </r>
  <r>
    <x v="3"/>
    <x v="0"/>
    <x v="0"/>
    <x v="2"/>
    <x v="3"/>
    <x v="3"/>
    <x v="20"/>
    <x v="20"/>
    <x v="20"/>
    <x v="20"/>
    <x v="19"/>
    <x v="77"/>
    <x v="76"/>
    <x v="54"/>
    <x v="71"/>
    <x v="78"/>
    <x v="77"/>
    <x v="5"/>
    <x v="5"/>
  </r>
  <r>
    <x v="4"/>
    <x v="0"/>
    <x v="0"/>
    <x v="2"/>
    <x v="4"/>
    <x v="4"/>
    <x v="0"/>
    <x v="0"/>
    <x v="0"/>
    <x v="0"/>
    <x v="0"/>
    <x v="78"/>
    <x v="77"/>
    <x v="73"/>
    <x v="72"/>
    <x v="79"/>
    <x v="78"/>
    <x v="5"/>
    <x v="5"/>
  </r>
  <r>
    <x v="4"/>
    <x v="0"/>
    <x v="0"/>
    <x v="2"/>
    <x v="4"/>
    <x v="4"/>
    <x v="1"/>
    <x v="1"/>
    <x v="1"/>
    <x v="1"/>
    <x v="1"/>
    <x v="79"/>
    <x v="78"/>
    <x v="74"/>
    <x v="73"/>
    <x v="80"/>
    <x v="79"/>
    <x v="5"/>
    <x v="5"/>
  </r>
  <r>
    <x v="4"/>
    <x v="0"/>
    <x v="0"/>
    <x v="2"/>
    <x v="4"/>
    <x v="4"/>
    <x v="11"/>
    <x v="11"/>
    <x v="11"/>
    <x v="11"/>
    <x v="2"/>
    <x v="80"/>
    <x v="79"/>
    <x v="75"/>
    <x v="74"/>
    <x v="81"/>
    <x v="80"/>
    <x v="5"/>
    <x v="5"/>
  </r>
  <r>
    <x v="4"/>
    <x v="0"/>
    <x v="0"/>
    <x v="2"/>
    <x v="4"/>
    <x v="4"/>
    <x v="3"/>
    <x v="3"/>
    <x v="3"/>
    <x v="3"/>
    <x v="3"/>
    <x v="81"/>
    <x v="80"/>
    <x v="45"/>
    <x v="75"/>
    <x v="82"/>
    <x v="81"/>
    <x v="8"/>
    <x v="20"/>
  </r>
  <r>
    <x v="4"/>
    <x v="0"/>
    <x v="0"/>
    <x v="2"/>
    <x v="4"/>
    <x v="4"/>
    <x v="10"/>
    <x v="10"/>
    <x v="10"/>
    <x v="10"/>
    <x v="4"/>
    <x v="82"/>
    <x v="81"/>
    <x v="76"/>
    <x v="76"/>
    <x v="83"/>
    <x v="82"/>
    <x v="5"/>
    <x v="5"/>
  </r>
  <r>
    <x v="4"/>
    <x v="0"/>
    <x v="0"/>
    <x v="2"/>
    <x v="4"/>
    <x v="4"/>
    <x v="2"/>
    <x v="2"/>
    <x v="2"/>
    <x v="2"/>
    <x v="5"/>
    <x v="83"/>
    <x v="82"/>
    <x v="77"/>
    <x v="77"/>
    <x v="57"/>
    <x v="83"/>
    <x v="5"/>
    <x v="5"/>
  </r>
  <r>
    <x v="4"/>
    <x v="0"/>
    <x v="0"/>
    <x v="2"/>
    <x v="4"/>
    <x v="4"/>
    <x v="6"/>
    <x v="6"/>
    <x v="6"/>
    <x v="6"/>
    <x v="6"/>
    <x v="67"/>
    <x v="83"/>
    <x v="78"/>
    <x v="78"/>
    <x v="84"/>
    <x v="84"/>
    <x v="5"/>
    <x v="5"/>
  </r>
  <r>
    <x v="4"/>
    <x v="0"/>
    <x v="0"/>
    <x v="2"/>
    <x v="4"/>
    <x v="4"/>
    <x v="4"/>
    <x v="4"/>
    <x v="4"/>
    <x v="4"/>
    <x v="7"/>
    <x v="84"/>
    <x v="84"/>
    <x v="63"/>
    <x v="79"/>
    <x v="85"/>
    <x v="85"/>
    <x v="5"/>
    <x v="5"/>
  </r>
  <r>
    <x v="4"/>
    <x v="0"/>
    <x v="0"/>
    <x v="2"/>
    <x v="4"/>
    <x v="4"/>
    <x v="14"/>
    <x v="14"/>
    <x v="14"/>
    <x v="14"/>
    <x v="8"/>
    <x v="85"/>
    <x v="49"/>
    <x v="79"/>
    <x v="80"/>
    <x v="86"/>
    <x v="86"/>
    <x v="5"/>
    <x v="5"/>
  </r>
  <r>
    <x v="4"/>
    <x v="0"/>
    <x v="0"/>
    <x v="2"/>
    <x v="4"/>
    <x v="4"/>
    <x v="7"/>
    <x v="7"/>
    <x v="7"/>
    <x v="7"/>
    <x v="9"/>
    <x v="86"/>
    <x v="85"/>
    <x v="68"/>
    <x v="81"/>
    <x v="87"/>
    <x v="87"/>
    <x v="5"/>
    <x v="5"/>
  </r>
  <r>
    <x v="4"/>
    <x v="0"/>
    <x v="0"/>
    <x v="2"/>
    <x v="4"/>
    <x v="4"/>
    <x v="9"/>
    <x v="9"/>
    <x v="9"/>
    <x v="9"/>
    <x v="10"/>
    <x v="87"/>
    <x v="86"/>
    <x v="80"/>
    <x v="82"/>
    <x v="88"/>
    <x v="88"/>
    <x v="5"/>
    <x v="5"/>
  </r>
  <r>
    <x v="4"/>
    <x v="0"/>
    <x v="0"/>
    <x v="2"/>
    <x v="4"/>
    <x v="4"/>
    <x v="5"/>
    <x v="5"/>
    <x v="5"/>
    <x v="5"/>
    <x v="11"/>
    <x v="52"/>
    <x v="87"/>
    <x v="81"/>
    <x v="83"/>
    <x v="89"/>
    <x v="89"/>
    <x v="5"/>
    <x v="5"/>
  </r>
  <r>
    <x v="4"/>
    <x v="0"/>
    <x v="0"/>
    <x v="2"/>
    <x v="4"/>
    <x v="4"/>
    <x v="8"/>
    <x v="8"/>
    <x v="8"/>
    <x v="8"/>
    <x v="11"/>
    <x v="52"/>
    <x v="87"/>
    <x v="82"/>
    <x v="84"/>
    <x v="56"/>
    <x v="90"/>
    <x v="5"/>
    <x v="5"/>
  </r>
  <r>
    <x v="4"/>
    <x v="0"/>
    <x v="0"/>
    <x v="2"/>
    <x v="4"/>
    <x v="4"/>
    <x v="18"/>
    <x v="18"/>
    <x v="18"/>
    <x v="18"/>
    <x v="13"/>
    <x v="88"/>
    <x v="88"/>
    <x v="79"/>
    <x v="80"/>
    <x v="56"/>
    <x v="90"/>
    <x v="8"/>
    <x v="20"/>
  </r>
  <r>
    <x v="4"/>
    <x v="0"/>
    <x v="0"/>
    <x v="2"/>
    <x v="4"/>
    <x v="4"/>
    <x v="16"/>
    <x v="16"/>
    <x v="16"/>
    <x v="16"/>
    <x v="14"/>
    <x v="72"/>
    <x v="89"/>
    <x v="56"/>
    <x v="85"/>
    <x v="90"/>
    <x v="91"/>
    <x v="5"/>
    <x v="5"/>
  </r>
  <r>
    <x v="4"/>
    <x v="0"/>
    <x v="0"/>
    <x v="2"/>
    <x v="4"/>
    <x v="4"/>
    <x v="13"/>
    <x v="13"/>
    <x v="13"/>
    <x v="13"/>
    <x v="15"/>
    <x v="89"/>
    <x v="90"/>
    <x v="49"/>
    <x v="86"/>
    <x v="91"/>
    <x v="52"/>
    <x v="5"/>
    <x v="5"/>
  </r>
  <r>
    <x v="4"/>
    <x v="0"/>
    <x v="0"/>
    <x v="2"/>
    <x v="4"/>
    <x v="4"/>
    <x v="20"/>
    <x v="20"/>
    <x v="20"/>
    <x v="20"/>
    <x v="16"/>
    <x v="76"/>
    <x v="91"/>
    <x v="54"/>
    <x v="87"/>
    <x v="92"/>
    <x v="92"/>
    <x v="5"/>
    <x v="5"/>
  </r>
  <r>
    <x v="4"/>
    <x v="0"/>
    <x v="0"/>
    <x v="2"/>
    <x v="4"/>
    <x v="4"/>
    <x v="17"/>
    <x v="17"/>
    <x v="17"/>
    <x v="17"/>
    <x v="17"/>
    <x v="90"/>
    <x v="92"/>
    <x v="83"/>
    <x v="88"/>
    <x v="59"/>
    <x v="93"/>
    <x v="5"/>
    <x v="5"/>
  </r>
  <r>
    <x v="4"/>
    <x v="0"/>
    <x v="0"/>
    <x v="2"/>
    <x v="4"/>
    <x v="4"/>
    <x v="24"/>
    <x v="24"/>
    <x v="24"/>
    <x v="24"/>
    <x v="18"/>
    <x v="91"/>
    <x v="93"/>
    <x v="84"/>
    <x v="89"/>
    <x v="75"/>
    <x v="94"/>
    <x v="5"/>
    <x v="5"/>
  </r>
  <r>
    <x v="4"/>
    <x v="0"/>
    <x v="0"/>
    <x v="2"/>
    <x v="4"/>
    <x v="4"/>
    <x v="12"/>
    <x v="12"/>
    <x v="12"/>
    <x v="12"/>
    <x v="19"/>
    <x v="92"/>
    <x v="75"/>
    <x v="55"/>
    <x v="90"/>
    <x v="93"/>
    <x v="95"/>
    <x v="5"/>
    <x v="5"/>
  </r>
  <r>
    <x v="5"/>
    <x v="0"/>
    <x v="0"/>
    <x v="2"/>
    <x v="5"/>
    <x v="5"/>
    <x v="1"/>
    <x v="1"/>
    <x v="1"/>
    <x v="1"/>
    <x v="0"/>
    <x v="93"/>
    <x v="94"/>
    <x v="85"/>
    <x v="91"/>
    <x v="94"/>
    <x v="96"/>
    <x v="5"/>
    <x v="5"/>
  </r>
  <r>
    <x v="5"/>
    <x v="0"/>
    <x v="0"/>
    <x v="2"/>
    <x v="5"/>
    <x v="5"/>
    <x v="10"/>
    <x v="10"/>
    <x v="10"/>
    <x v="10"/>
    <x v="1"/>
    <x v="40"/>
    <x v="95"/>
    <x v="86"/>
    <x v="92"/>
    <x v="95"/>
    <x v="97"/>
    <x v="5"/>
    <x v="5"/>
  </r>
  <r>
    <x v="5"/>
    <x v="0"/>
    <x v="0"/>
    <x v="2"/>
    <x v="5"/>
    <x v="5"/>
    <x v="0"/>
    <x v="0"/>
    <x v="0"/>
    <x v="0"/>
    <x v="2"/>
    <x v="94"/>
    <x v="96"/>
    <x v="87"/>
    <x v="93"/>
    <x v="96"/>
    <x v="98"/>
    <x v="2"/>
    <x v="21"/>
  </r>
  <r>
    <x v="5"/>
    <x v="0"/>
    <x v="0"/>
    <x v="2"/>
    <x v="5"/>
    <x v="5"/>
    <x v="3"/>
    <x v="3"/>
    <x v="3"/>
    <x v="3"/>
    <x v="3"/>
    <x v="95"/>
    <x v="97"/>
    <x v="42"/>
    <x v="94"/>
    <x v="97"/>
    <x v="99"/>
    <x v="4"/>
    <x v="9"/>
  </r>
  <r>
    <x v="5"/>
    <x v="0"/>
    <x v="0"/>
    <x v="2"/>
    <x v="5"/>
    <x v="5"/>
    <x v="2"/>
    <x v="2"/>
    <x v="2"/>
    <x v="2"/>
    <x v="4"/>
    <x v="96"/>
    <x v="98"/>
    <x v="88"/>
    <x v="95"/>
    <x v="98"/>
    <x v="35"/>
    <x v="5"/>
    <x v="5"/>
  </r>
  <r>
    <x v="5"/>
    <x v="0"/>
    <x v="0"/>
    <x v="2"/>
    <x v="5"/>
    <x v="5"/>
    <x v="11"/>
    <x v="11"/>
    <x v="11"/>
    <x v="11"/>
    <x v="5"/>
    <x v="97"/>
    <x v="63"/>
    <x v="89"/>
    <x v="53"/>
    <x v="60"/>
    <x v="100"/>
    <x v="5"/>
    <x v="5"/>
  </r>
  <r>
    <x v="5"/>
    <x v="0"/>
    <x v="0"/>
    <x v="2"/>
    <x v="5"/>
    <x v="5"/>
    <x v="7"/>
    <x v="7"/>
    <x v="7"/>
    <x v="7"/>
    <x v="6"/>
    <x v="98"/>
    <x v="99"/>
    <x v="90"/>
    <x v="96"/>
    <x v="99"/>
    <x v="101"/>
    <x v="5"/>
    <x v="5"/>
  </r>
  <r>
    <x v="5"/>
    <x v="0"/>
    <x v="0"/>
    <x v="2"/>
    <x v="5"/>
    <x v="5"/>
    <x v="6"/>
    <x v="6"/>
    <x v="6"/>
    <x v="6"/>
    <x v="7"/>
    <x v="99"/>
    <x v="100"/>
    <x v="91"/>
    <x v="97"/>
    <x v="68"/>
    <x v="102"/>
    <x v="5"/>
    <x v="5"/>
  </r>
  <r>
    <x v="5"/>
    <x v="0"/>
    <x v="0"/>
    <x v="2"/>
    <x v="5"/>
    <x v="5"/>
    <x v="13"/>
    <x v="13"/>
    <x v="13"/>
    <x v="13"/>
    <x v="8"/>
    <x v="100"/>
    <x v="101"/>
    <x v="92"/>
    <x v="98"/>
    <x v="100"/>
    <x v="103"/>
    <x v="5"/>
    <x v="5"/>
  </r>
  <r>
    <x v="5"/>
    <x v="0"/>
    <x v="0"/>
    <x v="2"/>
    <x v="5"/>
    <x v="5"/>
    <x v="14"/>
    <x v="14"/>
    <x v="14"/>
    <x v="14"/>
    <x v="9"/>
    <x v="47"/>
    <x v="102"/>
    <x v="93"/>
    <x v="99"/>
    <x v="101"/>
    <x v="104"/>
    <x v="5"/>
    <x v="5"/>
  </r>
  <r>
    <x v="5"/>
    <x v="0"/>
    <x v="0"/>
    <x v="2"/>
    <x v="5"/>
    <x v="5"/>
    <x v="4"/>
    <x v="4"/>
    <x v="4"/>
    <x v="4"/>
    <x v="10"/>
    <x v="101"/>
    <x v="103"/>
    <x v="94"/>
    <x v="100"/>
    <x v="102"/>
    <x v="105"/>
    <x v="5"/>
    <x v="5"/>
  </r>
  <r>
    <x v="5"/>
    <x v="0"/>
    <x v="0"/>
    <x v="2"/>
    <x v="5"/>
    <x v="5"/>
    <x v="5"/>
    <x v="5"/>
    <x v="5"/>
    <x v="5"/>
    <x v="11"/>
    <x v="102"/>
    <x v="104"/>
    <x v="95"/>
    <x v="101"/>
    <x v="103"/>
    <x v="106"/>
    <x v="5"/>
    <x v="5"/>
  </r>
  <r>
    <x v="5"/>
    <x v="0"/>
    <x v="0"/>
    <x v="2"/>
    <x v="5"/>
    <x v="5"/>
    <x v="18"/>
    <x v="18"/>
    <x v="18"/>
    <x v="18"/>
    <x v="12"/>
    <x v="49"/>
    <x v="50"/>
    <x v="57"/>
    <x v="102"/>
    <x v="104"/>
    <x v="107"/>
    <x v="13"/>
    <x v="22"/>
  </r>
  <r>
    <x v="5"/>
    <x v="0"/>
    <x v="0"/>
    <x v="2"/>
    <x v="5"/>
    <x v="5"/>
    <x v="16"/>
    <x v="16"/>
    <x v="16"/>
    <x v="16"/>
    <x v="13"/>
    <x v="103"/>
    <x v="105"/>
    <x v="56"/>
    <x v="103"/>
    <x v="105"/>
    <x v="108"/>
    <x v="5"/>
    <x v="5"/>
  </r>
  <r>
    <x v="5"/>
    <x v="0"/>
    <x v="0"/>
    <x v="2"/>
    <x v="5"/>
    <x v="5"/>
    <x v="9"/>
    <x v="9"/>
    <x v="9"/>
    <x v="9"/>
    <x v="14"/>
    <x v="104"/>
    <x v="106"/>
    <x v="96"/>
    <x v="104"/>
    <x v="106"/>
    <x v="49"/>
    <x v="4"/>
    <x v="9"/>
  </r>
  <r>
    <x v="5"/>
    <x v="0"/>
    <x v="0"/>
    <x v="2"/>
    <x v="5"/>
    <x v="5"/>
    <x v="25"/>
    <x v="25"/>
    <x v="25"/>
    <x v="25"/>
    <x v="15"/>
    <x v="105"/>
    <x v="107"/>
    <x v="84"/>
    <x v="89"/>
    <x v="107"/>
    <x v="109"/>
    <x v="4"/>
    <x v="9"/>
  </r>
  <r>
    <x v="5"/>
    <x v="0"/>
    <x v="0"/>
    <x v="2"/>
    <x v="5"/>
    <x v="5"/>
    <x v="8"/>
    <x v="8"/>
    <x v="8"/>
    <x v="8"/>
    <x v="16"/>
    <x v="84"/>
    <x v="73"/>
    <x v="57"/>
    <x v="102"/>
    <x v="71"/>
    <x v="110"/>
    <x v="5"/>
    <x v="5"/>
  </r>
  <r>
    <x v="5"/>
    <x v="0"/>
    <x v="0"/>
    <x v="2"/>
    <x v="5"/>
    <x v="5"/>
    <x v="20"/>
    <x v="20"/>
    <x v="20"/>
    <x v="20"/>
    <x v="17"/>
    <x v="106"/>
    <x v="108"/>
    <x v="97"/>
    <x v="105"/>
    <x v="50"/>
    <x v="16"/>
    <x v="5"/>
    <x v="5"/>
  </r>
  <r>
    <x v="5"/>
    <x v="0"/>
    <x v="0"/>
    <x v="2"/>
    <x v="5"/>
    <x v="5"/>
    <x v="17"/>
    <x v="17"/>
    <x v="17"/>
    <x v="17"/>
    <x v="18"/>
    <x v="88"/>
    <x v="109"/>
    <x v="53"/>
    <x v="106"/>
    <x v="76"/>
    <x v="111"/>
    <x v="5"/>
    <x v="5"/>
  </r>
  <r>
    <x v="5"/>
    <x v="0"/>
    <x v="0"/>
    <x v="2"/>
    <x v="5"/>
    <x v="5"/>
    <x v="26"/>
    <x v="26"/>
    <x v="26"/>
    <x v="26"/>
    <x v="19"/>
    <x v="107"/>
    <x v="19"/>
    <x v="95"/>
    <x v="101"/>
    <x v="78"/>
    <x v="112"/>
    <x v="5"/>
    <x v="5"/>
  </r>
  <r>
    <x v="6"/>
    <x v="0"/>
    <x v="0"/>
    <x v="2"/>
    <x v="6"/>
    <x v="6"/>
    <x v="1"/>
    <x v="1"/>
    <x v="1"/>
    <x v="1"/>
    <x v="0"/>
    <x v="108"/>
    <x v="110"/>
    <x v="98"/>
    <x v="107"/>
    <x v="108"/>
    <x v="113"/>
    <x v="5"/>
    <x v="23"/>
  </r>
  <r>
    <x v="6"/>
    <x v="0"/>
    <x v="0"/>
    <x v="2"/>
    <x v="6"/>
    <x v="6"/>
    <x v="2"/>
    <x v="2"/>
    <x v="2"/>
    <x v="2"/>
    <x v="1"/>
    <x v="109"/>
    <x v="111"/>
    <x v="99"/>
    <x v="108"/>
    <x v="109"/>
    <x v="114"/>
    <x v="5"/>
    <x v="23"/>
  </r>
  <r>
    <x v="6"/>
    <x v="0"/>
    <x v="0"/>
    <x v="2"/>
    <x v="6"/>
    <x v="6"/>
    <x v="0"/>
    <x v="0"/>
    <x v="0"/>
    <x v="0"/>
    <x v="2"/>
    <x v="110"/>
    <x v="112"/>
    <x v="100"/>
    <x v="109"/>
    <x v="110"/>
    <x v="115"/>
    <x v="5"/>
    <x v="23"/>
  </r>
  <r>
    <x v="6"/>
    <x v="0"/>
    <x v="0"/>
    <x v="2"/>
    <x v="6"/>
    <x v="6"/>
    <x v="3"/>
    <x v="3"/>
    <x v="3"/>
    <x v="3"/>
    <x v="3"/>
    <x v="111"/>
    <x v="113"/>
    <x v="101"/>
    <x v="46"/>
    <x v="72"/>
    <x v="116"/>
    <x v="5"/>
    <x v="23"/>
  </r>
  <r>
    <x v="6"/>
    <x v="0"/>
    <x v="0"/>
    <x v="2"/>
    <x v="6"/>
    <x v="6"/>
    <x v="6"/>
    <x v="6"/>
    <x v="6"/>
    <x v="6"/>
    <x v="4"/>
    <x v="112"/>
    <x v="114"/>
    <x v="102"/>
    <x v="110"/>
    <x v="86"/>
    <x v="117"/>
    <x v="5"/>
    <x v="23"/>
  </r>
  <r>
    <x v="6"/>
    <x v="0"/>
    <x v="0"/>
    <x v="2"/>
    <x v="6"/>
    <x v="6"/>
    <x v="5"/>
    <x v="5"/>
    <x v="5"/>
    <x v="5"/>
    <x v="5"/>
    <x v="113"/>
    <x v="115"/>
    <x v="69"/>
    <x v="111"/>
    <x v="111"/>
    <x v="118"/>
    <x v="5"/>
    <x v="23"/>
  </r>
  <r>
    <x v="6"/>
    <x v="0"/>
    <x v="0"/>
    <x v="2"/>
    <x v="6"/>
    <x v="6"/>
    <x v="4"/>
    <x v="4"/>
    <x v="4"/>
    <x v="4"/>
    <x v="6"/>
    <x v="114"/>
    <x v="116"/>
    <x v="103"/>
    <x v="112"/>
    <x v="112"/>
    <x v="119"/>
    <x v="5"/>
    <x v="23"/>
  </r>
  <r>
    <x v="6"/>
    <x v="0"/>
    <x v="0"/>
    <x v="2"/>
    <x v="6"/>
    <x v="6"/>
    <x v="8"/>
    <x v="8"/>
    <x v="8"/>
    <x v="8"/>
    <x v="7"/>
    <x v="115"/>
    <x v="117"/>
    <x v="71"/>
    <x v="113"/>
    <x v="113"/>
    <x v="120"/>
    <x v="5"/>
    <x v="23"/>
  </r>
  <r>
    <x v="6"/>
    <x v="0"/>
    <x v="0"/>
    <x v="2"/>
    <x v="6"/>
    <x v="6"/>
    <x v="7"/>
    <x v="7"/>
    <x v="7"/>
    <x v="7"/>
    <x v="8"/>
    <x v="116"/>
    <x v="118"/>
    <x v="104"/>
    <x v="114"/>
    <x v="114"/>
    <x v="27"/>
    <x v="5"/>
    <x v="23"/>
  </r>
  <r>
    <x v="6"/>
    <x v="0"/>
    <x v="0"/>
    <x v="2"/>
    <x v="6"/>
    <x v="6"/>
    <x v="11"/>
    <x v="11"/>
    <x v="11"/>
    <x v="11"/>
    <x v="9"/>
    <x v="53"/>
    <x v="119"/>
    <x v="105"/>
    <x v="115"/>
    <x v="115"/>
    <x v="121"/>
    <x v="5"/>
    <x v="23"/>
  </r>
  <r>
    <x v="6"/>
    <x v="0"/>
    <x v="0"/>
    <x v="2"/>
    <x v="6"/>
    <x v="6"/>
    <x v="9"/>
    <x v="9"/>
    <x v="9"/>
    <x v="9"/>
    <x v="10"/>
    <x v="54"/>
    <x v="120"/>
    <x v="45"/>
    <x v="116"/>
    <x v="116"/>
    <x v="122"/>
    <x v="5"/>
    <x v="23"/>
  </r>
  <r>
    <x v="6"/>
    <x v="0"/>
    <x v="0"/>
    <x v="2"/>
    <x v="6"/>
    <x v="6"/>
    <x v="12"/>
    <x v="12"/>
    <x v="12"/>
    <x v="12"/>
    <x v="11"/>
    <x v="117"/>
    <x v="121"/>
    <x v="106"/>
    <x v="117"/>
    <x v="77"/>
    <x v="123"/>
    <x v="5"/>
    <x v="23"/>
  </r>
  <r>
    <x v="6"/>
    <x v="0"/>
    <x v="0"/>
    <x v="2"/>
    <x v="6"/>
    <x v="6"/>
    <x v="14"/>
    <x v="14"/>
    <x v="14"/>
    <x v="14"/>
    <x v="12"/>
    <x v="118"/>
    <x v="12"/>
    <x v="57"/>
    <x v="99"/>
    <x v="117"/>
    <x v="124"/>
    <x v="5"/>
    <x v="23"/>
  </r>
  <r>
    <x v="6"/>
    <x v="0"/>
    <x v="0"/>
    <x v="2"/>
    <x v="6"/>
    <x v="6"/>
    <x v="27"/>
    <x v="27"/>
    <x v="27"/>
    <x v="27"/>
    <x v="13"/>
    <x v="119"/>
    <x v="122"/>
    <x v="93"/>
    <x v="118"/>
    <x v="89"/>
    <x v="6"/>
    <x v="5"/>
    <x v="23"/>
  </r>
  <r>
    <x v="6"/>
    <x v="0"/>
    <x v="0"/>
    <x v="2"/>
    <x v="6"/>
    <x v="6"/>
    <x v="10"/>
    <x v="10"/>
    <x v="10"/>
    <x v="10"/>
    <x v="14"/>
    <x v="120"/>
    <x v="123"/>
    <x v="107"/>
    <x v="119"/>
    <x v="118"/>
    <x v="125"/>
    <x v="5"/>
    <x v="23"/>
  </r>
  <r>
    <x v="6"/>
    <x v="0"/>
    <x v="0"/>
    <x v="2"/>
    <x v="6"/>
    <x v="6"/>
    <x v="13"/>
    <x v="13"/>
    <x v="13"/>
    <x v="13"/>
    <x v="15"/>
    <x v="76"/>
    <x v="124"/>
    <x v="108"/>
    <x v="120"/>
    <x v="119"/>
    <x v="126"/>
    <x v="5"/>
    <x v="23"/>
  </r>
  <r>
    <x v="6"/>
    <x v="0"/>
    <x v="0"/>
    <x v="2"/>
    <x v="6"/>
    <x v="6"/>
    <x v="21"/>
    <x v="21"/>
    <x v="21"/>
    <x v="21"/>
    <x v="16"/>
    <x v="121"/>
    <x v="125"/>
    <x v="57"/>
    <x v="99"/>
    <x v="120"/>
    <x v="127"/>
    <x v="5"/>
    <x v="23"/>
  </r>
  <r>
    <x v="6"/>
    <x v="0"/>
    <x v="0"/>
    <x v="2"/>
    <x v="6"/>
    <x v="6"/>
    <x v="20"/>
    <x v="20"/>
    <x v="20"/>
    <x v="20"/>
    <x v="17"/>
    <x v="122"/>
    <x v="126"/>
    <x v="93"/>
    <x v="118"/>
    <x v="121"/>
    <x v="128"/>
    <x v="5"/>
    <x v="23"/>
  </r>
  <r>
    <x v="6"/>
    <x v="0"/>
    <x v="0"/>
    <x v="2"/>
    <x v="6"/>
    <x v="6"/>
    <x v="17"/>
    <x v="17"/>
    <x v="17"/>
    <x v="17"/>
    <x v="18"/>
    <x v="92"/>
    <x v="37"/>
    <x v="44"/>
    <x v="121"/>
    <x v="122"/>
    <x v="129"/>
    <x v="5"/>
    <x v="23"/>
  </r>
  <r>
    <x v="6"/>
    <x v="0"/>
    <x v="0"/>
    <x v="2"/>
    <x v="6"/>
    <x v="6"/>
    <x v="18"/>
    <x v="18"/>
    <x v="18"/>
    <x v="18"/>
    <x v="19"/>
    <x v="123"/>
    <x v="127"/>
    <x v="54"/>
    <x v="122"/>
    <x v="123"/>
    <x v="130"/>
    <x v="5"/>
    <x v="23"/>
  </r>
  <r>
    <x v="7"/>
    <x v="0"/>
    <x v="0"/>
    <x v="2"/>
    <x v="7"/>
    <x v="7"/>
    <x v="1"/>
    <x v="1"/>
    <x v="1"/>
    <x v="1"/>
    <x v="0"/>
    <x v="124"/>
    <x v="128"/>
    <x v="109"/>
    <x v="123"/>
    <x v="124"/>
    <x v="131"/>
    <x v="5"/>
    <x v="23"/>
  </r>
  <r>
    <x v="7"/>
    <x v="0"/>
    <x v="0"/>
    <x v="2"/>
    <x v="7"/>
    <x v="7"/>
    <x v="0"/>
    <x v="0"/>
    <x v="0"/>
    <x v="0"/>
    <x v="1"/>
    <x v="125"/>
    <x v="111"/>
    <x v="110"/>
    <x v="124"/>
    <x v="125"/>
    <x v="132"/>
    <x v="5"/>
    <x v="23"/>
  </r>
  <r>
    <x v="7"/>
    <x v="0"/>
    <x v="0"/>
    <x v="2"/>
    <x v="7"/>
    <x v="7"/>
    <x v="2"/>
    <x v="2"/>
    <x v="2"/>
    <x v="2"/>
    <x v="2"/>
    <x v="126"/>
    <x v="129"/>
    <x v="111"/>
    <x v="125"/>
    <x v="126"/>
    <x v="26"/>
    <x v="5"/>
    <x v="23"/>
  </r>
  <r>
    <x v="7"/>
    <x v="0"/>
    <x v="0"/>
    <x v="2"/>
    <x v="7"/>
    <x v="7"/>
    <x v="6"/>
    <x v="6"/>
    <x v="6"/>
    <x v="6"/>
    <x v="3"/>
    <x v="127"/>
    <x v="130"/>
    <x v="112"/>
    <x v="126"/>
    <x v="90"/>
    <x v="133"/>
    <x v="5"/>
    <x v="23"/>
  </r>
  <r>
    <x v="7"/>
    <x v="0"/>
    <x v="0"/>
    <x v="2"/>
    <x v="7"/>
    <x v="7"/>
    <x v="3"/>
    <x v="3"/>
    <x v="3"/>
    <x v="3"/>
    <x v="4"/>
    <x v="128"/>
    <x v="131"/>
    <x v="113"/>
    <x v="127"/>
    <x v="127"/>
    <x v="67"/>
    <x v="5"/>
    <x v="23"/>
  </r>
  <r>
    <x v="7"/>
    <x v="0"/>
    <x v="0"/>
    <x v="2"/>
    <x v="7"/>
    <x v="7"/>
    <x v="4"/>
    <x v="4"/>
    <x v="4"/>
    <x v="4"/>
    <x v="5"/>
    <x v="129"/>
    <x v="132"/>
    <x v="75"/>
    <x v="128"/>
    <x v="128"/>
    <x v="134"/>
    <x v="5"/>
    <x v="23"/>
  </r>
  <r>
    <x v="7"/>
    <x v="0"/>
    <x v="0"/>
    <x v="2"/>
    <x v="7"/>
    <x v="7"/>
    <x v="5"/>
    <x v="5"/>
    <x v="5"/>
    <x v="5"/>
    <x v="6"/>
    <x v="114"/>
    <x v="133"/>
    <x v="69"/>
    <x v="129"/>
    <x v="129"/>
    <x v="135"/>
    <x v="5"/>
    <x v="23"/>
  </r>
  <r>
    <x v="7"/>
    <x v="0"/>
    <x v="0"/>
    <x v="2"/>
    <x v="7"/>
    <x v="7"/>
    <x v="8"/>
    <x v="8"/>
    <x v="8"/>
    <x v="8"/>
    <x v="7"/>
    <x v="104"/>
    <x v="134"/>
    <x v="63"/>
    <x v="121"/>
    <x v="130"/>
    <x v="136"/>
    <x v="5"/>
    <x v="23"/>
  </r>
  <r>
    <x v="7"/>
    <x v="0"/>
    <x v="0"/>
    <x v="2"/>
    <x v="7"/>
    <x v="7"/>
    <x v="7"/>
    <x v="7"/>
    <x v="7"/>
    <x v="7"/>
    <x v="8"/>
    <x v="105"/>
    <x v="135"/>
    <x v="64"/>
    <x v="130"/>
    <x v="131"/>
    <x v="137"/>
    <x v="5"/>
    <x v="23"/>
  </r>
  <r>
    <x v="7"/>
    <x v="0"/>
    <x v="0"/>
    <x v="2"/>
    <x v="7"/>
    <x v="7"/>
    <x v="9"/>
    <x v="9"/>
    <x v="9"/>
    <x v="9"/>
    <x v="9"/>
    <x v="130"/>
    <x v="136"/>
    <x v="45"/>
    <x v="131"/>
    <x v="132"/>
    <x v="51"/>
    <x v="5"/>
    <x v="23"/>
  </r>
  <r>
    <x v="7"/>
    <x v="0"/>
    <x v="0"/>
    <x v="2"/>
    <x v="7"/>
    <x v="7"/>
    <x v="14"/>
    <x v="14"/>
    <x v="14"/>
    <x v="14"/>
    <x v="10"/>
    <x v="131"/>
    <x v="137"/>
    <x v="71"/>
    <x v="132"/>
    <x v="109"/>
    <x v="138"/>
    <x v="5"/>
    <x v="23"/>
  </r>
  <r>
    <x v="7"/>
    <x v="0"/>
    <x v="0"/>
    <x v="2"/>
    <x v="7"/>
    <x v="7"/>
    <x v="11"/>
    <x v="11"/>
    <x v="11"/>
    <x v="11"/>
    <x v="11"/>
    <x v="132"/>
    <x v="138"/>
    <x v="114"/>
    <x v="133"/>
    <x v="116"/>
    <x v="139"/>
    <x v="5"/>
    <x v="23"/>
  </r>
  <r>
    <x v="7"/>
    <x v="0"/>
    <x v="0"/>
    <x v="2"/>
    <x v="7"/>
    <x v="7"/>
    <x v="13"/>
    <x v="13"/>
    <x v="13"/>
    <x v="13"/>
    <x v="11"/>
    <x v="132"/>
    <x v="138"/>
    <x v="94"/>
    <x v="134"/>
    <x v="124"/>
    <x v="131"/>
    <x v="5"/>
    <x v="23"/>
  </r>
  <r>
    <x v="7"/>
    <x v="0"/>
    <x v="0"/>
    <x v="2"/>
    <x v="7"/>
    <x v="7"/>
    <x v="12"/>
    <x v="12"/>
    <x v="12"/>
    <x v="12"/>
    <x v="13"/>
    <x v="57"/>
    <x v="139"/>
    <x v="115"/>
    <x v="135"/>
    <x v="49"/>
    <x v="68"/>
    <x v="5"/>
    <x v="23"/>
  </r>
  <r>
    <x v="7"/>
    <x v="0"/>
    <x v="0"/>
    <x v="2"/>
    <x v="7"/>
    <x v="7"/>
    <x v="10"/>
    <x v="10"/>
    <x v="10"/>
    <x v="10"/>
    <x v="14"/>
    <x v="133"/>
    <x v="140"/>
    <x v="107"/>
    <x v="136"/>
    <x v="54"/>
    <x v="140"/>
    <x v="5"/>
    <x v="23"/>
  </r>
  <r>
    <x v="7"/>
    <x v="0"/>
    <x v="0"/>
    <x v="2"/>
    <x v="7"/>
    <x v="7"/>
    <x v="17"/>
    <x v="17"/>
    <x v="17"/>
    <x v="17"/>
    <x v="15"/>
    <x v="134"/>
    <x v="73"/>
    <x v="53"/>
    <x v="137"/>
    <x v="116"/>
    <x v="139"/>
    <x v="5"/>
    <x v="23"/>
  </r>
  <r>
    <x v="7"/>
    <x v="0"/>
    <x v="0"/>
    <x v="2"/>
    <x v="7"/>
    <x v="7"/>
    <x v="20"/>
    <x v="20"/>
    <x v="20"/>
    <x v="20"/>
    <x v="16"/>
    <x v="135"/>
    <x v="141"/>
    <x v="116"/>
    <x v="138"/>
    <x v="122"/>
    <x v="141"/>
    <x v="5"/>
    <x v="23"/>
  </r>
  <r>
    <x v="7"/>
    <x v="0"/>
    <x v="0"/>
    <x v="2"/>
    <x v="7"/>
    <x v="7"/>
    <x v="23"/>
    <x v="23"/>
    <x v="23"/>
    <x v="23"/>
    <x v="16"/>
    <x v="135"/>
    <x v="141"/>
    <x v="84"/>
    <x v="89"/>
    <x v="123"/>
    <x v="142"/>
    <x v="5"/>
    <x v="23"/>
  </r>
  <r>
    <x v="7"/>
    <x v="0"/>
    <x v="0"/>
    <x v="2"/>
    <x v="7"/>
    <x v="7"/>
    <x v="16"/>
    <x v="16"/>
    <x v="16"/>
    <x v="16"/>
    <x v="18"/>
    <x v="136"/>
    <x v="142"/>
    <x v="56"/>
    <x v="139"/>
    <x v="133"/>
    <x v="143"/>
    <x v="5"/>
    <x v="23"/>
  </r>
  <r>
    <x v="7"/>
    <x v="0"/>
    <x v="0"/>
    <x v="2"/>
    <x v="7"/>
    <x v="7"/>
    <x v="28"/>
    <x v="28"/>
    <x v="28"/>
    <x v="28"/>
    <x v="19"/>
    <x v="137"/>
    <x v="143"/>
    <x v="116"/>
    <x v="138"/>
    <x v="87"/>
    <x v="144"/>
    <x v="5"/>
    <x v="23"/>
  </r>
  <r>
    <x v="8"/>
    <x v="0"/>
    <x v="0"/>
    <x v="2"/>
    <x v="8"/>
    <x v="8"/>
    <x v="1"/>
    <x v="1"/>
    <x v="1"/>
    <x v="1"/>
    <x v="0"/>
    <x v="138"/>
    <x v="144"/>
    <x v="117"/>
    <x v="140"/>
    <x v="88"/>
    <x v="145"/>
    <x v="8"/>
    <x v="24"/>
  </r>
  <r>
    <x v="8"/>
    <x v="0"/>
    <x v="0"/>
    <x v="2"/>
    <x v="8"/>
    <x v="8"/>
    <x v="0"/>
    <x v="0"/>
    <x v="0"/>
    <x v="0"/>
    <x v="1"/>
    <x v="139"/>
    <x v="145"/>
    <x v="118"/>
    <x v="141"/>
    <x v="134"/>
    <x v="146"/>
    <x v="8"/>
    <x v="24"/>
  </r>
  <r>
    <x v="8"/>
    <x v="0"/>
    <x v="0"/>
    <x v="2"/>
    <x v="8"/>
    <x v="8"/>
    <x v="2"/>
    <x v="2"/>
    <x v="2"/>
    <x v="2"/>
    <x v="2"/>
    <x v="140"/>
    <x v="146"/>
    <x v="119"/>
    <x v="142"/>
    <x v="58"/>
    <x v="147"/>
    <x v="5"/>
    <x v="5"/>
  </r>
  <r>
    <x v="8"/>
    <x v="0"/>
    <x v="0"/>
    <x v="2"/>
    <x v="8"/>
    <x v="8"/>
    <x v="3"/>
    <x v="3"/>
    <x v="3"/>
    <x v="3"/>
    <x v="3"/>
    <x v="141"/>
    <x v="147"/>
    <x v="120"/>
    <x v="143"/>
    <x v="89"/>
    <x v="148"/>
    <x v="5"/>
    <x v="5"/>
  </r>
  <r>
    <x v="8"/>
    <x v="0"/>
    <x v="0"/>
    <x v="2"/>
    <x v="8"/>
    <x v="8"/>
    <x v="5"/>
    <x v="5"/>
    <x v="5"/>
    <x v="5"/>
    <x v="4"/>
    <x v="142"/>
    <x v="148"/>
    <x v="108"/>
    <x v="144"/>
    <x v="86"/>
    <x v="149"/>
    <x v="5"/>
    <x v="5"/>
  </r>
  <r>
    <x v="8"/>
    <x v="0"/>
    <x v="0"/>
    <x v="2"/>
    <x v="8"/>
    <x v="8"/>
    <x v="6"/>
    <x v="6"/>
    <x v="6"/>
    <x v="6"/>
    <x v="4"/>
    <x v="142"/>
    <x v="148"/>
    <x v="121"/>
    <x v="145"/>
    <x v="70"/>
    <x v="150"/>
    <x v="5"/>
    <x v="5"/>
  </r>
  <r>
    <x v="8"/>
    <x v="0"/>
    <x v="0"/>
    <x v="2"/>
    <x v="8"/>
    <x v="8"/>
    <x v="4"/>
    <x v="4"/>
    <x v="4"/>
    <x v="4"/>
    <x v="6"/>
    <x v="143"/>
    <x v="83"/>
    <x v="55"/>
    <x v="68"/>
    <x v="40"/>
    <x v="151"/>
    <x v="8"/>
    <x v="24"/>
  </r>
  <r>
    <x v="8"/>
    <x v="0"/>
    <x v="0"/>
    <x v="2"/>
    <x v="8"/>
    <x v="8"/>
    <x v="8"/>
    <x v="8"/>
    <x v="8"/>
    <x v="8"/>
    <x v="7"/>
    <x v="87"/>
    <x v="135"/>
    <x v="97"/>
    <x v="146"/>
    <x v="83"/>
    <x v="152"/>
    <x v="5"/>
    <x v="5"/>
  </r>
  <r>
    <x v="8"/>
    <x v="0"/>
    <x v="0"/>
    <x v="2"/>
    <x v="8"/>
    <x v="8"/>
    <x v="7"/>
    <x v="7"/>
    <x v="7"/>
    <x v="7"/>
    <x v="8"/>
    <x v="54"/>
    <x v="149"/>
    <x v="122"/>
    <x v="147"/>
    <x v="135"/>
    <x v="153"/>
    <x v="5"/>
    <x v="5"/>
  </r>
  <r>
    <x v="8"/>
    <x v="0"/>
    <x v="0"/>
    <x v="2"/>
    <x v="8"/>
    <x v="8"/>
    <x v="9"/>
    <x v="9"/>
    <x v="9"/>
    <x v="9"/>
    <x v="9"/>
    <x v="131"/>
    <x v="150"/>
    <x v="123"/>
    <x v="48"/>
    <x v="136"/>
    <x v="154"/>
    <x v="5"/>
    <x v="5"/>
  </r>
  <r>
    <x v="8"/>
    <x v="0"/>
    <x v="0"/>
    <x v="2"/>
    <x v="8"/>
    <x v="8"/>
    <x v="13"/>
    <x v="13"/>
    <x v="13"/>
    <x v="13"/>
    <x v="10"/>
    <x v="144"/>
    <x v="151"/>
    <x v="55"/>
    <x v="68"/>
    <x v="120"/>
    <x v="155"/>
    <x v="5"/>
    <x v="5"/>
  </r>
  <r>
    <x v="8"/>
    <x v="0"/>
    <x v="0"/>
    <x v="2"/>
    <x v="8"/>
    <x v="8"/>
    <x v="10"/>
    <x v="10"/>
    <x v="10"/>
    <x v="10"/>
    <x v="11"/>
    <x v="58"/>
    <x v="152"/>
    <x v="95"/>
    <x v="148"/>
    <x v="137"/>
    <x v="156"/>
    <x v="5"/>
    <x v="5"/>
  </r>
  <r>
    <x v="8"/>
    <x v="0"/>
    <x v="0"/>
    <x v="2"/>
    <x v="8"/>
    <x v="8"/>
    <x v="11"/>
    <x v="11"/>
    <x v="11"/>
    <x v="11"/>
    <x v="12"/>
    <x v="145"/>
    <x v="153"/>
    <x v="103"/>
    <x v="149"/>
    <x v="114"/>
    <x v="157"/>
    <x v="5"/>
    <x v="5"/>
  </r>
  <r>
    <x v="8"/>
    <x v="0"/>
    <x v="0"/>
    <x v="2"/>
    <x v="8"/>
    <x v="8"/>
    <x v="12"/>
    <x v="12"/>
    <x v="12"/>
    <x v="12"/>
    <x v="13"/>
    <x v="123"/>
    <x v="52"/>
    <x v="124"/>
    <x v="150"/>
    <x v="131"/>
    <x v="158"/>
    <x v="5"/>
    <x v="5"/>
  </r>
  <r>
    <x v="8"/>
    <x v="0"/>
    <x v="0"/>
    <x v="2"/>
    <x v="8"/>
    <x v="8"/>
    <x v="14"/>
    <x v="14"/>
    <x v="14"/>
    <x v="14"/>
    <x v="13"/>
    <x v="123"/>
    <x v="52"/>
    <x v="79"/>
    <x v="151"/>
    <x v="138"/>
    <x v="159"/>
    <x v="5"/>
    <x v="5"/>
  </r>
  <r>
    <x v="8"/>
    <x v="0"/>
    <x v="0"/>
    <x v="2"/>
    <x v="8"/>
    <x v="8"/>
    <x v="23"/>
    <x v="23"/>
    <x v="23"/>
    <x v="23"/>
    <x v="15"/>
    <x v="135"/>
    <x v="73"/>
    <x v="125"/>
    <x v="18"/>
    <x v="132"/>
    <x v="160"/>
    <x v="4"/>
    <x v="25"/>
  </r>
  <r>
    <x v="8"/>
    <x v="0"/>
    <x v="0"/>
    <x v="2"/>
    <x v="8"/>
    <x v="8"/>
    <x v="16"/>
    <x v="16"/>
    <x v="16"/>
    <x v="16"/>
    <x v="16"/>
    <x v="146"/>
    <x v="74"/>
    <x v="125"/>
    <x v="18"/>
    <x v="133"/>
    <x v="161"/>
    <x v="5"/>
    <x v="5"/>
  </r>
  <r>
    <x v="8"/>
    <x v="0"/>
    <x v="0"/>
    <x v="2"/>
    <x v="8"/>
    <x v="8"/>
    <x v="17"/>
    <x v="17"/>
    <x v="17"/>
    <x v="17"/>
    <x v="17"/>
    <x v="147"/>
    <x v="15"/>
    <x v="93"/>
    <x v="152"/>
    <x v="139"/>
    <x v="162"/>
    <x v="5"/>
    <x v="5"/>
  </r>
  <r>
    <x v="8"/>
    <x v="0"/>
    <x v="0"/>
    <x v="2"/>
    <x v="8"/>
    <x v="8"/>
    <x v="18"/>
    <x v="18"/>
    <x v="18"/>
    <x v="18"/>
    <x v="18"/>
    <x v="137"/>
    <x v="154"/>
    <x v="125"/>
    <x v="18"/>
    <x v="116"/>
    <x v="163"/>
    <x v="5"/>
    <x v="5"/>
  </r>
  <r>
    <x v="8"/>
    <x v="0"/>
    <x v="0"/>
    <x v="2"/>
    <x v="8"/>
    <x v="8"/>
    <x v="24"/>
    <x v="24"/>
    <x v="24"/>
    <x v="24"/>
    <x v="19"/>
    <x v="148"/>
    <x v="155"/>
    <x v="84"/>
    <x v="89"/>
    <x v="140"/>
    <x v="164"/>
    <x v="5"/>
    <x v="5"/>
  </r>
  <r>
    <x v="8"/>
    <x v="0"/>
    <x v="0"/>
    <x v="2"/>
    <x v="8"/>
    <x v="8"/>
    <x v="20"/>
    <x v="20"/>
    <x v="20"/>
    <x v="20"/>
    <x v="19"/>
    <x v="148"/>
    <x v="155"/>
    <x v="126"/>
    <x v="153"/>
    <x v="87"/>
    <x v="165"/>
    <x v="5"/>
    <x v="5"/>
  </r>
  <r>
    <x v="9"/>
    <x v="0"/>
    <x v="0"/>
    <x v="2"/>
    <x v="9"/>
    <x v="9"/>
    <x v="0"/>
    <x v="0"/>
    <x v="0"/>
    <x v="0"/>
    <x v="0"/>
    <x v="149"/>
    <x v="156"/>
    <x v="74"/>
    <x v="154"/>
    <x v="98"/>
    <x v="166"/>
    <x v="8"/>
    <x v="26"/>
  </r>
  <r>
    <x v="9"/>
    <x v="0"/>
    <x v="0"/>
    <x v="2"/>
    <x v="9"/>
    <x v="9"/>
    <x v="2"/>
    <x v="2"/>
    <x v="2"/>
    <x v="2"/>
    <x v="1"/>
    <x v="150"/>
    <x v="157"/>
    <x v="127"/>
    <x v="155"/>
    <x v="141"/>
    <x v="167"/>
    <x v="5"/>
    <x v="5"/>
  </r>
  <r>
    <x v="9"/>
    <x v="0"/>
    <x v="0"/>
    <x v="2"/>
    <x v="9"/>
    <x v="9"/>
    <x v="1"/>
    <x v="1"/>
    <x v="1"/>
    <x v="1"/>
    <x v="2"/>
    <x v="151"/>
    <x v="158"/>
    <x v="128"/>
    <x v="156"/>
    <x v="142"/>
    <x v="168"/>
    <x v="5"/>
    <x v="5"/>
  </r>
  <r>
    <x v="9"/>
    <x v="0"/>
    <x v="0"/>
    <x v="2"/>
    <x v="9"/>
    <x v="9"/>
    <x v="3"/>
    <x v="3"/>
    <x v="3"/>
    <x v="3"/>
    <x v="3"/>
    <x v="128"/>
    <x v="159"/>
    <x v="45"/>
    <x v="157"/>
    <x v="143"/>
    <x v="169"/>
    <x v="8"/>
    <x v="26"/>
  </r>
  <r>
    <x v="9"/>
    <x v="0"/>
    <x v="0"/>
    <x v="2"/>
    <x v="9"/>
    <x v="9"/>
    <x v="4"/>
    <x v="4"/>
    <x v="4"/>
    <x v="4"/>
    <x v="4"/>
    <x v="152"/>
    <x v="160"/>
    <x v="44"/>
    <x v="68"/>
    <x v="72"/>
    <x v="170"/>
    <x v="8"/>
    <x v="26"/>
  </r>
  <r>
    <x v="9"/>
    <x v="0"/>
    <x v="0"/>
    <x v="2"/>
    <x v="9"/>
    <x v="9"/>
    <x v="6"/>
    <x v="6"/>
    <x v="6"/>
    <x v="6"/>
    <x v="5"/>
    <x v="153"/>
    <x v="161"/>
    <x v="129"/>
    <x v="158"/>
    <x v="144"/>
    <x v="145"/>
    <x v="5"/>
    <x v="5"/>
  </r>
  <r>
    <x v="9"/>
    <x v="0"/>
    <x v="0"/>
    <x v="2"/>
    <x v="9"/>
    <x v="9"/>
    <x v="7"/>
    <x v="7"/>
    <x v="7"/>
    <x v="7"/>
    <x v="6"/>
    <x v="154"/>
    <x v="162"/>
    <x v="130"/>
    <x v="159"/>
    <x v="136"/>
    <x v="27"/>
    <x v="5"/>
    <x v="5"/>
  </r>
  <r>
    <x v="9"/>
    <x v="0"/>
    <x v="0"/>
    <x v="2"/>
    <x v="9"/>
    <x v="9"/>
    <x v="9"/>
    <x v="9"/>
    <x v="9"/>
    <x v="9"/>
    <x v="7"/>
    <x v="86"/>
    <x v="149"/>
    <x v="131"/>
    <x v="160"/>
    <x v="145"/>
    <x v="36"/>
    <x v="5"/>
    <x v="5"/>
  </r>
  <r>
    <x v="9"/>
    <x v="0"/>
    <x v="0"/>
    <x v="2"/>
    <x v="9"/>
    <x v="9"/>
    <x v="5"/>
    <x v="5"/>
    <x v="5"/>
    <x v="5"/>
    <x v="8"/>
    <x v="155"/>
    <x v="163"/>
    <x v="103"/>
    <x v="4"/>
    <x v="76"/>
    <x v="171"/>
    <x v="5"/>
    <x v="5"/>
  </r>
  <r>
    <x v="9"/>
    <x v="0"/>
    <x v="0"/>
    <x v="2"/>
    <x v="9"/>
    <x v="9"/>
    <x v="11"/>
    <x v="11"/>
    <x v="11"/>
    <x v="11"/>
    <x v="9"/>
    <x v="156"/>
    <x v="164"/>
    <x v="103"/>
    <x v="4"/>
    <x v="77"/>
    <x v="172"/>
    <x v="5"/>
    <x v="5"/>
  </r>
  <r>
    <x v="9"/>
    <x v="0"/>
    <x v="0"/>
    <x v="2"/>
    <x v="9"/>
    <x v="9"/>
    <x v="8"/>
    <x v="8"/>
    <x v="8"/>
    <x v="8"/>
    <x v="10"/>
    <x v="57"/>
    <x v="119"/>
    <x v="54"/>
    <x v="161"/>
    <x v="52"/>
    <x v="173"/>
    <x v="5"/>
    <x v="5"/>
  </r>
  <r>
    <x v="9"/>
    <x v="0"/>
    <x v="0"/>
    <x v="2"/>
    <x v="9"/>
    <x v="9"/>
    <x v="10"/>
    <x v="10"/>
    <x v="10"/>
    <x v="10"/>
    <x v="10"/>
    <x v="57"/>
    <x v="119"/>
    <x v="132"/>
    <x v="162"/>
    <x v="133"/>
    <x v="30"/>
    <x v="5"/>
    <x v="5"/>
  </r>
  <r>
    <x v="9"/>
    <x v="0"/>
    <x v="0"/>
    <x v="2"/>
    <x v="9"/>
    <x v="9"/>
    <x v="13"/>
    <x v="13"/>
    <x v="13"/>
    <x v="13"/>
    <x v="12"/>
    <x v="133"/>
    <x v="165"/>
    <x v="75"/>
    <x v="163"/>
    <x v="59"/>
    <x v="174"/>
    <x v="5"/>
    <x v="5"/>
  </r>
  <r>
    <x v="9"/>
    <x v="0"/>
    <x v="0"/>
    <x v="2"/>
    <x v="9"/>
    <x v="9"/>
    <x v="16"/>
    <x v="16"/>
    <x v="16"/>
    <x v="16"/>
    <x v="13"/>
    <x v="91"/>
    <x v="53"/>
    <x v="56"/>
    <x v="85"/>
    <x v="115"/>
    <x v="73"/>
    <x v="5"/>
    <x v="5"/>
  </r>
  <r>
    <x v="9"/>
    <x v="0"/>
    <x v="0"/>
    <x v="2"/>
    <x v="9"/>
    <x v="9"/>
    <x v="22"/>
    <x v="22"/>
    <x v="22"/>
    <x v="22"/>
    <x v="14"/>
    <x v="92"/>
    <x v="124"/>
    <x v="126"/>
    <x v="164"/>
    <x v="146"/>
    <x v="175"/>
    <x v="5"/>
    <x v="5"/>
  </r>
  <r>
    <x v="9"/>
    <x v="0"/>
    <x v="0"/>
    <x v="2"/>
    <x v="9"/>
    <x v="9"/>
    <x v="14"/>
    <x v="14"/>
    <x v="14"/>
    <x v="14"/>
    <x v="14"/>
    <x v="92"/>
    <x v="124"/>
    <x v="126"/>
    <x v="164"/>
    <x v="146"/>
    <x v="175"/>
    <x v="5"/>
    <x v="5"/>
  </r>
  <r>
    <x v="9"/>
    <x v="0"/>
    <x v="0"/>
    <x v="2"/>
    <x v="9"/>
    <x v="9"/>
    <x v="21"/>
    <x v="21"/>
    <x v="21"/>
    <x v="21"/>
    <x v="16"/>
    <x v="157"/>
    <x v="166"/>
    <x v="71"/>
    <x v="122"/>
    <x v="146"/>
    <x v="175"/>
    <x v="5"/>
    <x v="5"/>
  </r>
  <r>
    <x v="9"/>
    <x v="0"/>
    <x v="0"/>
    <x v="2"/>
    <x v="9"/>
    <x v="9"/>
    <x v="12"/>
    <x v="12"/>
    <x v="12"/>
    <x v="12"/>
    <x v="16"/>
    <x v="157"/>
    <x v="166"/>
    <x v="55"/>
    <x v="165"/>
    <x v="54"/>
    <x v="176"/>
    <x v="5"/>
    <x v="5"/>
  </r>
  <r>
    <x v="9"/>
    <x v="0"/>
    <x v="0"/>
    <x v="2"/>
    <x v="9"/>
    <x v="9"/>
    <x v="20"/>
    <x v="20"/>
    <x v="20"/>
    <x v="20"/>
    <x v="18"/>
    <x v="158"/>
    <x v="126"/>
    <x v="71"/>
    <x v="122"/>
    <x v="67"/>
    <x v="56"/>
    <x v="5"/>
    <x v="5"/>
  </r>
  <r>
    <x v="9"/>
    <x v="0"/>
    <x v="0"/>
    <x v="2"/>
    <x v="9"/>
    <x v="9"/>
    <x v="17"/>
    <x v="17"/>
    <x v="17"/>
    <x v="17"/>
    <x v="19"/>
    <x v="135"/>
    <x v="93"/>
    <x v="82"/>
    <x v="84"/>
    <x v="48"/>
    <x v="177"/>
    <x v="5"/>
    <x v="5"/>
  </r>
  <r>
    <x v="10"/>
    <x v="0"/>
    <x v="0"/>
    <x v="2"/>
    <x v="10"/>
    <x v="10"/>
    <x v="0"/>
    <x v="0"/>
    <x v="0"/>
    <x v="0"/>
    <x v="0"/>
    <x v="159"/>
    <x v="167"/>
    <x v="133"/>
    <x v="166"/>
    <x v="147"/>
    <x v="178"/>
    <x v="5"/>
    <x v="5"/>
  </r>
  <r>
    <x v="10"/>
    <x v="0"/>
    <x v="0"/>
    <x v="2"/>
    <x v="10"/>
    <x v="10"/>
    <x v="1"/>
    <x v="1"/>
    <x v="1"/>
    <x v="1"/>
    <x v="1"/>
    <x v="160"/>
    <x v="168"/>
    <x v="134"/>
    <x v="167"/>
    <x v="148"/>
    <x v="179"/>
    <x v="8"/>
    <x v="27"/>
  </r>
  <r>
    <x v="10"/>
    <x v="0"/>
    <x v="0"/>
    <x v="2"/>
    <x v="10"/>
    <x v="10"/>
    <x v="2"/>
    <x v="2"/>
    <x v="2"/>
    <x v="2"/>
    <x v="2"/>
    <x v="161"/>
    <x v="169"/>
    <x v="135"/>
    <x v="168"/>
    <x v="149"/>
    <x v="180"/>
    <x v="5"/>
    <x v="5"/>
  </r>
  <r>
    <x v="10"/>
    <x v="0"/>
    <x v="0"/>
    <x v="2"/>
    <x v="10"/>
    <x v="10"/>
    <x v="3"/>
    <x v="3"/>
    <x v="3"/>
    <x v="3"/>
    <x v="3"/>
    <x v="162"/>
    <x v="170"/>
    <x v="37"/>
    <x v="169"/>
    <x v="150"/>
    <x v="181"/>
    <x v="5"/>
    <x v="5"/>
  </r>
  <r>
    <x v="10"/>
    <x v="0"/>
    <x v="0"/>
    <x v="2"/>
    <x v="10"/>
    <x v="10"/>
    <x v="7"/>
    <x v="7"/>
    <x v="7"/>
    <x v="7"/>
    <x v="4"/>
    <x v="98"/>
    <x v="171"/>
    <x v="136"/>
    <x v="170"/>
    <x v="115"/>
    <x v="182"/>
    <x v="5"/>
    <x v="5"/>
  </r>
  <r>
    <x v="10"/>
    <x v="0"/>
    <x v="0"/>
    <x v="2"/>
    <x v="10"/>
    <x v="10"/>
    <x v="4"/>
    <x v="4"/>
    <x v="4"/>
    <x v="4"/>
    <x v="5"/>
    <x v="140"/>
    <x v="172"/>
    <x v="137"/>
    <x v="171"/>
    <x v="151"/>
    <x v="183"/>
    <x v="5"/>
    <x v="5"/>
  </r>
  <r>
    <x v="10"/>
    <x v="0"/>
    <x v="0"/>
    <x v="2"/>
    <x v="10"/>
    <x v="10"/>
    <x v="15"/>
    <x v="15"/>
    <x v="15"/>
    <x v="15"/>
    <x v="6"/>
    <x v="111"/>
    <x v="29"/>
    <x v="114"/>
    <x v="172"/>
    <x v="152"/>
    <x v="184"/>
    <x v="5"/>
    <x v="5"/>
  </r>
  <r>
    <x v="10"/>
    <x v="0"/>
    <x v="0"/>
    <x v="2"/>
    <x v="10"/>
    <x v="10"/>
    <x v="5"/>
    <x v="5"/>
    <x v="5"/>
    <x v="5"/>
    <x v="7"/>
    <x v="163"/>
    <x v="173"/>
    <x v="138"/>
    <x v="144"/>
    <x v="153"/>
    <x v="185"/>
    <x v="5"/>
    <x v="5"/>
  </r>
  <r>
    <x v="10"/>
    <x v="0"/>
    <x v="0"/>
    <x v="2"/>
    <x v="10"/>
    <x v="10"/>
    <x v="6"/>
    <x v="6"/>
    <x v="6"/>
    <x v="6"/>
    <x v="7"/>
    <x v="163"/>
    <x v="173"/>
    <x v="67"/>
    <x v="173"/>
    <x v="154"/>
    <x v="186"/>
    <x v="5"/>
    <x v="5"/>
  </r>
  <r>
    <x v="10"/>
    <x v="0"/>
    <x v="0"/>
    <x v="2"/>
    <x v="10"/>
    <x v="10"/>
    <x v="10"/>
    <x v="10"/>
    <x v="10"/>
    <x v="10"/>
    <x v="9"/>
    <x v="164"/>
    <x v="100"/>
    <x v="68"/>
    <x v="174"/>
    <x v="155"/>
    <x v="187"/>
    <x v="5"/>
    <x v="5"/>
  </r>
  <r>
    <x v="10"/>
    <x v="0"/>
    <x v="0"/>
    <x v="2"/>
    <x v="10"/>
    <x v="10"/>
    <x v="8"/>
    <x v="8"/>
    <x v="8"/>
    <x v="8"/>
    <x v="10"/>
    <x v="165"/>
    <x v="102"/>
    <x v="55"/>
    <x v="175"/>
    <x v="156"/>
    <x v="188"/>
    <x v="5"/>
    <x v="5"/>
  </r>
  <r>
    <x v="10"/>
    <x v="0"/>
    <x v="0"/>
    <x v="2"/>
    <x v="10"/>
    <x v="10"/>
    <x v="9"/>
    <x v="9"/>
    <x v="9"/>
    <x v="9"/>
    <x v="11"/>
    <x v="166"/>
    <x v="174"/>
    <x v="139"/>
    <x v="176"/>
    <x v="157"/>
    <x v="189"/>
    <x v="5"/>
    <x v="5"/>
  </r>
  <r>
    <x v="10"/>
    <x v="0"/>
    <x v="0"/>
    <x v="2"/>
    <x v="10"/>
    <x v="10"/>
    <x v="14"/>
    <x v="14"/>
    <x v="14"/>
    <x v="14"/>
    <x v="12"/>
    <x v="114"/>
    <x v="175"/>
    <x v="83"/>
    <x v="177"/>
    <x v="158"/>
    <x v="131"/>
    <x v="5"/>
    <x v="5"/>
  </r>
  <r>
    <x v="10"/>
    <x v="0"/>
    <x v="0"/>
    <x v="2"/>
    <x v="10"/>
    <x v="10"/>
    <x v="19"/>
    <x v="19"/>
    <x v="19"/>
    <x v="19"/>
    <x v="13"/>
    <x v="167"/>
    <x v="121"/>
    <x v="94"/>
    <x v="138"/>
    <x v="159"/>
    <x v="190"/>
    <x v="5"/>
    <x v="5"/>
  </r>
  <r>
    <x v="10"/>
    <x v="0"/>
    <x v="0"/>
    <x v="2"/>
    <x v="10"/>
    <x v="10"/>
    <x v="13"/>
    <x v="13"/>
    <x v="13"/>
    <x v="13"/>
    <x v="14"/>
    <x v="168"/>
    <x v="140"/>
    <x v="69"/>
    <x v="128"/>
    <x v="46"/>
    <x v="55"/>
    <x v="5"/>
    <x v="5"/>
  </r>
  <r>
    <x v="10"/>
    <x v="0"/>
    <x v="0"/>
    <x v="2"/>
    <x v="10"/>
    <x v="10"/>
    <x v="16"/>
    <x v="16"/>
    <x v="16"/>
    <x v="16"/>
    <x v="15"/>
    <x v="169"/>
    <x v="122"/>
    <x v="125"/>
    <x v="85"/>
    <x v="128"/>
    <x v="33"/>
    <x v="5"/>
    <x v="5"/>
  </r>
  <r>
    <x v="10"/>
    <x v="0"/>
    <x v="0"/>
    <x v="2"/>
    <x v="10"/>
    <x v="10"/>
    <x v="11"/>
    <x v="11"/>
    <x v="11"/>
    <x v="11"/>
    <x v="15"/>
    <x v="169"/>
    <x v="122"/>
    <x v="138"/>
    <x v="144"/>
    <x v="143"/>
    <x v="191"/>
    <x v="5"/>
    <x v="5"/>
  </r>
  <r>
    <x v="10"/>
    <x v="0"/>
    <x v="0"/>
    <x v="2"/>
    <x v="10"/>
    <x v="10"/>
    <x v="12"/>
    <x v="12"/>
    <x v="12"/>
    <x v="12"/>
    <x v="17"/>
    <x v="153"/>
    <x v="14"/>
    <x v="106"/>
    <x v="137"/>
    <x v="83"/>
    <x v="56"/>
    <x v="5"/>
    <x v="5"/>
  </r>
  <r>
    <x v="10"/>
    <x v="0"/>
    <x v="0"/>
    <x v="2"/>
    <x v="10"/>
    <x v="10"/>
    <x v="18"/>
    <x v="18"/>
    <x v="18"/>
    <x v="18"/>
    <x v="18"/>
    <x v="56"/>
    <x v="93"/>
    <x v="126"/>
    <x v="36"/>
    <x v="74"/>
    <x v="156"/>
    <x v="5"/>
    <x v="5"/>
  </r>
  <r>
    <x v="10"/>
    <x v="0"/>
    <x v="0"/>
    <x v="2"/>
    <x v="10"/>
    <x v="10"/>
    <x v="24"/>
    <x v="24"/>
    <x v="24"/>
    <x v="24"/>
    <x v="19"/>
    <x v="170"/>
    <x v="142"/>
    <x v="84"/>
    <x v="89"/>
    <x v="160"/>
    <x v="192"/>
    <x v="5"/>
    <x v="5"/>
  </r>
  <r>
    <x v="10"/>
    <x v="0"/>
    <x v="0"/>
    <x v="2"/>
    <x v="10"/>
    <x v="10"/>
    <x v="20"/>
    <x v="20"/>
    <x v="20"/>
    <x v="20"/>
    <x v="19"/>
    <x v="170"/>
    <x v="142"/>
    <x v="126"/>
    <x v="36"/>
    <x v="76"/>
    <x v="193"/>
    <x v="5"/>
    <x v="5"/>
  </r>
  <r>
    <x v="11"/>
    <x v="0"/>
    <x v="0"/>
    <x v="2"/>
    <x v="11"/>
    <x v="11"/>
    <x v="2"/>
    <x v="2"/>
    <x v="2"/>
    <x v="2"/>
    <x v="0"/>
    <x v="171"/>
    <x v="176"/>
    <x v="140"/>
    <x v="178"/>
    <x v="161"/>
    <x v="194"/>
    <x v="5"/>
    <x v="5"/>
  </r>
  <r>
    <x v="11"/>
    <x v="0"/>
    <x v="0"/>
    <x v="2"/>
    <x v="11"/>
    <x v="11"/>
    <x v="1"/>
    <x v="1"/>
    <x v="1"/>
    <x v="1"/>
    <x v="1"/>
    <x v="172"/>
    <x v="177"/>
    <x v="141"/>
    <x v="179"/>
    <x v="115"/>
    <x v="195"/>
    <x v="5"/>
    <x v="5"/>
  </r>
  <r>
    <x v="11"/>
    <x v="0"/>
    <x v="0"/>
    <x v="2"/>
    <x v="11"/>
    <x v="11"/>
    <x v="0"/>
    <x v="0"/>
    <x v="0"/>
    <x v="0"/>
    <x v="2"/>
    <x v="173"/>
    <x v="178"/>
    <x v="80"/>
    <x v="180"/>
    <x v="162"/>
    <x v="196"/>
    <x v="8"/>
    <x v="24"/>
  </r>
  <r>
    <x v="11"/>
    <x v="0"/>
    <x v="0"/>
    <x v="2"/>
    <x v="11"/>
    <x v="11"/>
    <x v="4"/>
    <x v="4"/>
    <x v="4"/>
    <x v="4"/>
    <x v="3"/>
    <x v="174"/>
    <x v="179"/>
    <x v="142"/>
    <x v="181"/>
    <x v="163"/>
    <x v="197"/>
    <x v="5"/>
    <x v="5"/>
  </r>
  <r>
    <x v="11"/>
    <x v="0"/>
    <x v="0"/>
    <x v="2"/>
    <x v="11"/>
    <x v="11"/>
    <x v="5"/>
    <x v="5"/>
    <x v="5"/>
    <x v="5"/>
    <x v="4"/>
    <x v="113"/>
    <x v="180"/>
    <x v="143"/>
    <x v="53"/>
    <x v="164"/>
    <x v="198"/>
    <x v="5"/>
    <x v="5"/>
  </r>
  <r>
    <x v="11"/>
    <x v="0"/>
    <x v="0"/>
    <x v="2"/>
    <x v="11"/>
    <x v="11"/>
    <x v="3"/>
    <x v="3"/>
    <x v="3"/>
    <x v="3"/>
    <x v="5"/>
    <x v="175"/>
    <x v="181"/>
    <x v="144"/>
    <x v="182"/>
    <x v="165"/>
    <x v="199"/>
    <x v="5"/>
    <x v="5"/>
  </r>
  <r>
    <x v="11"/>
    <x v="0"/>
    <x v="0"/>
    <x v="2"/>
    <x v="11"/>
    <x v="11"/>
    <x v="8"/>
    <x v="8"/>
    <x v="8"/>
    <x v="8"/>
    <x v="6"/>
    <x v="176"/>
    <x v="182"/>
    <x v="63"/>
    <x v="183"/>
    <x v="166"/>
    <x v="200"/>
    <x v="5"/>
    <x v="5"/>
  </r>
  <r>
    <x v="11"/>
    <x v="0"/>
    <x v="0"/>
    <x v="2"/>
    <x v="11"/>
    <x v="11"/>
    <x v="9"/>
    <x v="9"/>
    <x v="9"/>
    <x v="9"/>
    <x v="6"/>
    <x v="176"/>
    <x v="182"/>
    <x v="38"/>
    <x v="184"/>
    <x v="88"/>
    <x v="75"/>
    <x v="5"/>
    <x v="5"/>
  </r>
  <r>
    <x v="11"/>
    <x v="0"/>
    <x v="0"/>
    <x v="2"/>
    <x v="11"/>
    <x v="11"/>
    <x v="7"/>
    <x v="7"/>
    <x v="7"/>
    <x v="7"/>
    <x v="8"/>
    <x v="177"/>
    <x v="183"/>
    <x v="67"/>
    <x v="185"/>
    <x v="167"/>
    <x v="201"/>
    <x v="8"/>
    <x v="24"/>
  </r>
  <r>
    <x v="11"/>
    <x v="0"/>
    <x v="0"/>
    <x v="2"/>
    <x v="11"/>
    <x v="11"/>
    <x v="6"/>
    <x v="6"/>
    <x v="6"/>
    <x v="6"/>
    <x v="9"/>
    <x v="178"/>
    <x v="184"/>
    <x v="80"/>
    <x v="180"/>
    <x v="91"/>
    <x v="202"/>
    <x v="5"/>
    <x v="5"/>
  </r>
  <r>
    <x v="11"/>
    <x v="0"/>
    <x v="0"/>
    <x v="2"/>
    <x v="11"/>
    <x v="11"/>
    <x v="10"/>
    <x v="10"/>
    <x v="10"/>
    <x v="10"/>
    <x v="10"/>
    <x v="87"/>
    <x v="185"/>
    <x v="145"/>
    <x v="186"/>
    <x v="49"/>
    <x v="203"/>
    <x v="5"/>
    <x v="5"/>
  </r>
  <r>
    <x v="11"/>
    <x v="0"/>
    <x v="0"/>
    <x v="2"/>
    <x v="11"/>
    <x v="11"/>
    <x v="11"/>
    <x v="11"/>
    <x v="11"/>
    <x v="11"/>
    <x v="11"/>
    <x v="179"/>
    <x v="151"/>
    <x v="53"/>
    <x v="187"/>
    <x v="106"/>
    <x v="204"/>
    <x v="5"/>
    <x v="5"/>
  </r>
  <r>
    <x v="11"/>
    <x v="0"/>
    <x v="0"/>
    <x v="2"/>
    <x v="11"/>
    <x v="11"/>
    <x v="12"/>
    <x v="12"/>
    <x v="12"/>
    <x v="12"/>
    <x v="12"/>
    <x v="56"/>
    <x v="186"/>
    <x v="44"/>
    <x v="68"/>
    <x v="58"/>
    <x v="205"/>
    <x v="5"/>
    <x v="5"/>
  </r>
  <r>
    <x v="11"/>
    <x v="0"/>
    <x v="0"/>
    <x v="2"/>
    <x v="11"/>
    <x v="11"/>
    <x v="14"/>
    <x v="14"/>
    <x v="14"/>
    <x v="14"/>
    <x v="13"/>
    <x v="156"/>
    <x v="187"/>
    <x v="126"/>
    <x v="164"/>
    <x v="57"/>
    <x v="206"/>
    <x v="5"/>
    <x v="5"/>
  </r>
  <r>
    <x v="11"/>
    <x v="0"/>
    <x v="0"/>
    <x v="2"/>
    <x v="11"/>
    <x v="11"/>
    <x v="13"/>
    <x v="13"/>
    <x v="13"/>
    <x v="13"/>
    <x v="14"/>
    <x v="180"/>
    <x v="188"/>
    <x v="93"/>
    <x v="120"/>
    <x v="126"/>
    <x v="207"/>
    <x v="5"/>
    <x v="5"/>
  </r>
  <r>
    <x v="11"/>
    <x v="0"/>
    <x v="0"/>
    <x v="2"/>
    <x v="11"/>
    <x v="11"/>
    <x v="17"/>
    <x v="17"/>
    <x v="17"/>
    <x v="17"/>
    <x v="15"/>
    <x v="181"/>
    <x v="189"/>
    <x v="75"/>
    <x v="163"/>
    <x v="132"/>
    <x v="208"/>
    <x v="5"/>
    <x v="5"/>
  </r>
  <r>
    <x v="11"/>
    <x v="0"/>
    <x v="0"/>
    <x v="2"/>
    <x v="11"/>
    <x v="11"/>
    <x v="16"/>
    <x v="16"/>
    <x v="16"/>
    <x v="16"/>
    <x v="16"/>
    <x v="134"/>
    <x v="190"/>
    <x v="126"/>
    <x v="164"/>
    <x v="121"/>
    <x v="9"/>
    <x v="5"/>
    <x v="5"/>
  </r>
  <r>
    <x v="11"/>
    <x v="0"/>
    <x v="0"/>
    <x v="2"/>
    <x v="11"/>
    <x v="11"/>
    <x v="23"/>
    <x v="23"/>
    <x v="23"/>
    <x v="23"/>
    <x v="17"/>
    <x v="182"/>
    <x v="191"/>
    <x v="56"/>
    <x v="85"/>
    <x v="118"/>
    <x v="163"/>
    <x v="4"/>
    <x v="25"/>
  </r>
  <r>
    <x v="11"/>
    <x v="0"/>
    <x v="0"/>
    <x v="2"/>
    <x v="11"/>
    <x v="11"/>
    <x v="21"/>
    <x v="21"/>
    <x v="21"/>
    <x v="21"/>
    <x v="18"/>
    <x v="135"/>
    <x v="154"/>
    <x v="56"/>
    <x v="85"/>
    <x v="67"/>
    <x v="141"/>
    <x v="5"/>
    <x v="5"/>
  </r>
  <r>
    <x v="11"/>
    <x v="0"/>
    <x v="0"/>
    <x v="2"/>
    <x v="11"/>
    <x v="11"/>
    <x v="18"/>
    <x v="18"/>
    <x v="18"/>
    <x v="18"/>
    <x v="19"/>
    <x v="146"/>
    <x v="17"/>
    <x v="79"/>
    <x v="80"/>
    <x v="132"/>
    <x v="208"/>
    <x v="5"/>
    <x v="5"/>
  </r>
  <r>
    <x v="12"/>
    <x v="0"/>
    <x v="0"/>
    <x v="2"/>
    <x v="12"/>
    <x v="12"/>
    <x v="0"/>
    <x v="0"/>
    <x v="0"/>
    <x v="0"/>
    <x v="0"/>
    <x v="183"/>
    <x v="192"/>
    <x v="146"/>
    <x v="188"/>
    <x v="163"/>
    <x v="209"/>
    <x v="5"/>
    <x v="5"/>
  </r>
  <r>
    <x v="12"/>
    <x v="0"/>
    <x v="0"/>
    <x v="2"/>
    <x v="12"/>
    <x v="12"/>
    <x v="2"/>
    <x v="2"/>
    <x v="2"/>
    <x v="2"/>
    <x v="1"/>
    <x v="184"/>
    <x v="193"/>
    <x v="147"/>
    <x v="189"/>
    <x v="62"/>
    <x v="210"/>
    <x v="5"/>
    <x v="5"/>
  </r>
  <r>
    <x v="12"/>
    <x v="0"/>
    <x v="0"/>
    <x v="2"/>
    <x v="12"/>
    <x v="12"/>
    <x v="1"/>
    <x v="1"/>
    <x v="1"/>
    <x v="1"/>
    <x v="2"/>
    <x v="185"/>
    <x v="194"/>
    <x v="148"/>
    <x v="190"/>
    <x v="126"/>
    <x v="211"/>
    <x v="5"/>
    <x v="5"/>
  </r>
  <r>
    <x v="12"/>
    <x v="0"/>
    <x v="0"/>
    <x v="2"/>
    <x v="12"/>
    <x v="12"/>
    <x v="4"/>
    <x v="4"/>
    <x v="4"/>
    <x v="4"/>
    <x v="3"/>
    <x v="186"/>
    <x v="195"/>
    <x v="103"/>
    <x v="191"/>
    <x v="168"/>
    <x v="212"/>
    <x v="5"/>
    <x v="5"/>
  </r>
  <r>
    <x v="12"/>
    <x v="0"/>
    <x v="0"/>
    <x v="2"/>
    <x v="12"/>
    <x v="12"/>
    <x v="3"/>
    <x v="3"/>
    <x v="3"/>
    <x v="3"/>
    <x v="4"/>
    <x v="187"/>
    <x v="196"/>
    <x v="149"/>
    <x v="192"/>
    <x v="61"/>
    <x v="213"/>
    <x v="5"/>
    <x v="5"/>
  </r>
  <r>
    <x v="12"/>
    <x v="0"/>
    <x v="0"/>
    <x v="2"/>
    <x v="12"/>
    <x v="12"/>
    <x v="5"/>
    <x v="5"/>
    <x v="5"/>
    <x v="5"/>
    <x v="5"/>
    <x v="166"/>
    <x v="197"/>
    <x v="35"/>
    <x v="193"/>
    <x v="169"/>
    <x v="214"/>
    <x v="5"/>
    <x v="5"/>
  </r>
  <r>
    <x v="12"/>
    <x v="0"/>
    <x v="0"/>
    <x v="2"/>
    <x v="12"/>
    <x v="12"/>
    <x v="9"/>
    <x v="9"/>
    <x v="9"/>
    <x v="9"/>
    <x v="6"/>
    <x v="188"/>
    <x v="198"/>
    <x v="150"/>
    <x v="194"/>
    <x v="126"/>
    <x v="211"/>
    <x v="5"/>
    <x v="5"/>
  </r>
  <r>
    <x v="12"/>
    <x v="0"/>
    <x v="0"/>
    <x v="2"/>
    <x v="12"/>
    <x v="12"/>
    <x v="7"/>
    <x v="7"/>
    <x v="7"/>
    <x v="7"/>
    <x v="7"/>
    <x v="70"/>
    <x v="199"/>
    <x v="151"/>
    <x v="195"/>
    <x v="87"/>
    <x v="215"/>
    <x v="5"/>
    <x v="5"/>
  </r>
  <r>
    <x v="12"/>
    <x v="0"/>
    <x v="0"/>
    <x v="2"/>
    <x v="12"/>
    <x v="12"/>
    <x v="8"/>
    <x v="8"/>
    <x v="8"/>
    <x v="8"/>
    <x v="8"/>
    <x v="189"/>
    <x v="200"/>
    <x v="83"/>
    <x v="196"/>
    <x v="130"/>
    <x v="216"/>
    <x v="5"/>
    <x v="5"/>
  </r>
  <r>
    <x v="12"/>
    <x v="0"/>
    <x v="0"/>
    <x v="2"/>
    <x v="12"/>
    <x v="12"/>
    <x v="6"/>
    <x v="6"/>
    <x v="6"/>
    <x v="6"/>
    <x v="8"/>
    <x v="189"/>
    <x v="200"/>
    <x v="152"/>
    <x v="116"/>
    <x v="117"/>
    <x v="217"/>
    <x v="5"/>
    <x v="5"/>
  </r>
  <r>
    <x v="12"/>
    <x v="0"/>
    <x v="0"/>
    <x v="2"/>
    <x v="12"/>
    <x v="12"/>
    <x v="10"/>
    <x v="10"/>
    <x v="10"/>
    <x v="10"/>
    <x v="10"/>
    <x v="190"/>
    <x v="201"/>
    <x v="123"/>
    <x v="197"/>
    <x v="121"/>
    <x v="218"/>
    <x v="5"/>
    <x v="5"/>
  </r>
  <r>
    <x v="12"/>
    <x v="0"/>
    <x v="0"/>
    <x v="2"/>
    <x v="12"/>
    <x v="12"/>
    <x v="13"/>
    <x v="13"/>
    <x v="13"/>
    <x v="13"/>
    <x v="11"/>
    <x v="118"/>
    <x v="202"/>
    <x v="142"/>
    <x v="32"/>
    <x v="170"/>
    <x v="204"/>
    <x v="5"/>
    <x v="5"/>
  </r>
  <r>
    <x v="12"/>
    <x v="0"/>
    <x v="0"/>
    <x v="2"/>
    <x v="12"/>
    <x v="12"/>
    <x v="14"/>
    <x v="14"/>
    <x v="14"/>
    <x v="14"/>
    <x v="12"/>
    <x v="191"/>
    <x v="203"/>
    <x v="54"/>
    <x v="38"/>
    <x v="117"/>
    <x v="217"/>
    <x v="5"/>
    <x v="5"/>
  </r>
  <r>
    <x v="12"/>
    <x v="0"/>
    <x v="0"/>
    <x v="2"/>
    <x v="12"/>
    <x v="12"/>
    <x v="11"/>
    <x v="11"/>
    <x v="11"/>
    <x v="11"/>
    <x v="13"/>
    <x v="89"/>
    <x v="12"/>
    <x v="49"/>
    <x v="198"/>
    <x v="91"/>
    <x v="219"/>
    <x v="5"/>
    <x v="5"/>
  </r>
  <r>
    <x v="12"/>
    <x v="0"/>
    <x v="0"/>
    <x v="2"/>
    <x v="12"/>
    <x v="12"/>
    <x v="12"/>
    <x v="12"/>
    <x v="12"/>
    <x v="12"/>
    <x v="14"/>
    <x v="180"/>
    <x v="204"/>
    <x v="142"/>
    <x v="32"/>
    <x v="119"/>
    <x v="220"/>
    <x v="5"/>
    <x v="5"/>
  </r>
  <r>
    <x v="12"/>
    <x v="0"/>
    <x v="0"/>
    <x v="2"/>
    <x v="12"/>
    <x v="12"/>
    <x v="17"/>
    <x v="17"/>
    <x v="17"/>
    <x v="17"/>
    <x v="15"/>
    <x v="192"/>
    <x v="205"/>
    <x v="83"/>
    <x v="196"/>
    <x v="93"/>
    <x v="158"/>
    <x v="5"/>
    <x v="5"/>
  </r>
  <r>
    <x v="12"/>
    <x v="0"/>
    <x v="0"/>
    <x v="2"/>
    <x v="12"/>
    <x v="12"/>
    <x v="29"/>
    <x v="29"/>
    <x v="29"/>
    <x v="29"/>
    <x v="16"/>
    <x v="135"/>
    <x v="206"/>
    <x v="71"/>
    <x v="80"/>
    <x v="132"/>
    <x v="221"/>
    <x v="5"/>
    <x v="5"/>
  </r>
  <r>
    <x v="12"/>
    <x v="0"/>
    <x v="0"/>
    <x v="2"/>
    <x v="12"/>
    <x v="12"/>
    <x v="23"/>
    <x v="23"/>
    <x v="23"/>
    <x v="23"/>
    <x v="17"/>
    <x v="136"/>
    <x v="207"/>
    <x v="56"/>
    <x v="139"/>
    <x v="132"/>
    <x v="221"/>
    <x v="8"/>
    <x v="28"/>
  </r>
  <r>
    <x v="12"/>
    <x v="0"/>
    <x v="0"/>
    <x v="2"/>
    <x v="12"/>
    <x v="12"/>
    <x v="18"/>
    <x v="18"/>
    <x v="18"/>
    <x v="18"/>
    <x v="18"/>
    <x v="193"/>
    <x v="208"/>
    <x v="79"/>
    <x v="18"/>
    <x v="93"/>
    <x v="158"/>
    <x v="5"/>
    <x v="5"/>
  </r>
  <r>
    <x v="12"/>
    <x v="0"/>
    <x v="0"/>
    <x v="2"/>
    <x v="12"/>
    <x v="12"/>
    <x v="30"/>
    <x v="30"/>
    <x v="30"/>
    <x v="30"/>
    <x v="19"/>
    <x v="137"/>
    <x v="209"/>
    <x v="137"/>
    <x v="199"/>
    <x v="171"/>
    <x v="222"/>
    <x v="5"/>
    <x v="5"/>
  </r>
  <r>
    <x v="12"/>
    <x v="0"/>
    <x v="0"/>
    <x v="2"/>
    <x v="12"/>
    <x v="12"/>
    <x v="31"/>
    <x v="31"/>
    <x v="31"/>
    <x v="31"/>
    <x v="19"/>
    <x v="137"/>
    <x v="209"/>
    <x v="94"/>
    <x v="200"/>
    <x v="135"/>
    <x v="223"/>
    <x v="5"/>
    <x v="5"/>
  </r>
  <r>
    <x v="13"/>
    <x v="0"/>
    <x v="0"/>
    <x v="2"/>
    <x v="13"/>
    <x v="13"/>
    <x v="2"/>
    <x v="2"/>
    <x v="2"/>
    <x v="2"/>
    <x v="0"/>
    <x v="194"/>
    <x v="210"/>
    <x v="153"/>
    <x v="201"/>
    <x v="89"/>
    <x v="224"/>
    <x v="5"/>
    <x v="5"/>
  </r>
  <r>
    <x v="13"/>
    <x v="0"/>
    <x v="0"/>
    <x v="2"/>
    <x v="13"/>
    <x v="13"/>
    <x v="1"/>
    <x v="1"/>
    <x v="1"/>
    <x v="1"/>
    <x v="1"/>
    <x v="195"/>
    <x v="211"/>
    <x v="87"/>
    <x v="202"/>
    <x v="133"/>
    <x v="163"/>
    <x v="5"/>
    <x v="5"/>
  </r>
  <r>
    <x v="13"/>
    <x v="0"/>
    <x v="0"/>
    <x v="2"/>
    <x v="13"/>
    <x v="13"/>
    <x v="0"/>
    <x v="0"/>
    <x v="0"/>
    <x v="0"/>
    <x v="2"/>
    <x v="196"/>
    <x v="212"/>
    <x v="76"/>
    <x v="203"/>
    <x v="40"/>
    <x v="225"/>
    <x v="13"/>
    <x v="29"/>
  </r>
  <r>
    <x v="13"/>
    <x v="0"/>
    <x v="0"/>
    <x v="2"/>
    <x v="13"/>
    <x v="13"/>
    <x v="5"/>
    <x v="5"/>
    <x v="5"/>
    <x v="5"/>
    <x v="3"/>
    <x v="197"/>
    <x v="213"/>
    <x v="107"/>
    <x v="204"/>
    <x v="172"/>
    <x v="226"/>
    <x v="5"/>
    <x v="5"/>
  </r>
  <r>
    <x v="13"/>
    <x v="0"/>
    <x v="0"/>
    <x v="2"/>
    <x v="13"/>
    <x v="13"/>
    <x v="4"/>
    <x v="4"/>
    <x v="4"/>
    <x v="4"/>
    <x v="4"/>
    <x v="63"/>
    <x v="214"/>
    <x v="142"/>
    <x v="111"/>
    <x v="173"/>
    <x v="227"/>
    <x v="5"/>
    <x v="5"/>
  </r>
  <r>
    <x v="13"/>
    <x v="0"/>
    <x v="0"/>
    <x v="2"/>
    <x v="13"/>
    <x v="13"/>
    <x v="8"/>
    <x v="8"/>
    <x v="8"/>
    <x v="8"/>
    <x v="5"/>
    <x v="187"/>
    <x v="215"/>
    <x v="94"/>
    <x v="205"/>
    <x v="174"/>
    <x v="98"/>
    <x v="5"/>
    <x v="5"/>
  </r>
  <r>
    <x v="13"/>
    <x v="0"/>
    <x v="0"/>
    <x v="2"/>
    <x v="13"/>
    <x v="13"/>
    <x v="3"/>
    <x v="3"/>
    <x v="3"/>
    <x v="3"/>
    <x v="6"/>
    <x v="198"/>
    <x v="216"/>
    <x v="52"/>
    <x v="206"/>
    <x v="175"/>
    <x v="228"/>
    <x v="5"/>
    <x v="5"/>
  </r>
  <r>
    <x v="13"/>
    <x v="0"/>
    <x v="0"/>
    <x v="2"/>
    <x v="13"/>
    <x v="13"/>
    <x v="6"/>
    <x v="6"/>
    <x v="6"/>
    <x v="6"/>
    <x v="7"/>
    <x v="70"/>
    <x v="217"/>
    <x v="154"/>
    <x v="207"/>
    <x v="144"/>
    <x v="204"/>
    <x v="5"/>
    <x v="5"/>
  </r>
  <r>
    <x v="13"/>
    <x v="0"/>
    <x v="0"/>
    <x v="2"/>
    <x v="13"/>
    <x v="13"/>
    <x v="9"/>
    <x v="9"/>
    <x v="9"/>
    <x v="9"/>
    <x v="8"/>
    <x v="115"/>
    <x v="218"/>
    <x v="155"/>
    <x v="208"/>
    <x v="119"/>
    <x v="229"/>
    <x v="5"/>
    <x v="5"/>
  </r>
  <r>
    <x v="13"/>
    <x v="0"/>
    <x v="0"/>
    <x v="2"/>
    <x v="13"/>
    <x v="13"/>
    <x v="7"/>
    <x v="7"/>
    <x v="7"/>
    <x v="7"/>
    <x v="9"/>
    <x v="199"/>
    <x v="219"/>
    <x v="156"/>
    <x v="209"/>
    <x v="87"/>
    <x v="230"/>
    <x v="5"/>
    <x v="5"/>
  </r>
  <r>
    <x v="13"/>
    <x v="0"/>
    <x v="0"/>
    <x v="2"/>
    <x v="13"/>
    <x v="13"/>
    <x v="12"/>
    <x v="12"/>
    <x v="12"/>
    <x v="12"/>
    <x v="10"/>
    <x v="53"/>
    <x v="220"/>
    <x v="95"/>
    <x v="129"/>
    <x v="106"/>
    <x v="231"/>
    <x v="5"/>
    <x v="5"/>
  </r>
  <r>
    <x v="13"/>
    <x v="0"/>
    <x v="0"/>
    <x v="2"/>
    <x v="13"/>
    <x v="13"/>
    <x v="13"/>
    <x v="13"/>
    <x v="13"/>
    <x v="13"/>
    <x v="11"/>
    <x v="88"/>
    <x v="86"/>
    <x v="95"/>
    <x v="129"/>
    <x v="170"/>
    <x v="102"/>
    <x v="5"/>
    <x v="5"/>
  </r>
  <r>
    <x v="13"/>
    <x v="0"/>
    <x v="0"/>
    <x v="2"/>
    <x v="13"/>
    <x v="13"/>
    <x v="10"/>
    <x v="10"/>
    <x v="10"/>
    <x v="10"/>
    <x v="12"/>
    <x v="89"/>
    <x v="103"/>
    <x v="138"/>
    <x v="210"/>
    <x v="67"/>
    <x v="232"/>
    <x v="5"/>
    <x v="5"/>
  </r>
  <r>
    <x v="13"/>
    <x v="0"/>
    <x v="0"/>
    <x v="2"/>
    <x v="13"/>
    <x v="13"/>
    <x v="11"/>
    <x v="11"/>
    <x v="11"/>
    <x v="11"/>
    <x v="13"/>
    <x v="76"/>
    <x v="14"/>
    <x v="143"/>
    <x v="211"/>
    <x v="122"/>
    <x v="139"/>
    <x v="5"/>
    <x v="5"/>
  </r>
  <r>
    <x v="13"/>
    <x v="0"/>
    <x v="0"/>
    <x v="2"/>
    <x v="13"/>
    <x v="13"/>
    <x v="16"/>
    <x v="16"/>
    <x v="16"/>
    <x v="16"/>
    <x v="14"/>
    <x v="77"/>
    <x v="221"/>
    <x v="56"/>
    <x v="212"/>
    <x v="124"/>
    <x v="233"/>
    <x v="5"/>
    <x v="5"/>
  </r>
  <r>
    <x v="13"/>
    <x v="0"/>
    <x v="0"/>
    <x v="2"/>
    <x v="13"/>
    <x v="13"/>
    <x v="14"/>
    <x v="14"/>
    <x v="14"/>
    <x v="14"/>
    <x v="15"/>
    <x v="200"/>
    <x v="55"/>
    <x v="79"/>
    <x v="113"/>
    <x v="120"/>
    <x v="234"/>
    <x v="5"/>
    <x v="5"/>
  </r>
  <r>
    <x v="13"/>
    <x v="0"/>
    <x v="0"/>
    <x v="2"/>
    <x v="13"/>
    <x v="13"/>
    <x v="23"/>
    <x v="23"/>
    <x v="23"/>
    <x v="23"/>
    <x v="16"/>
    <x v="135"/>
    <x v="222"/>
    <x v="84"/>
    <x v="89"/>
    <x v="67"/>
    <x v="232"/>
    <x v="8"/>
    <x v="30"/>
  </r>
  <r>
    <x v="13"/>
    <x v="0"/>
    <x v="0"/>
    <x v="2"/>
    <x v="13"/>
    <x v="13"/>
    <x v="17"/>
    <x v="17"/>
    <x v="17"/>
    <x v="17"/>
    <x v="17"/>
    <x v="146"/>
    <x v="154"/>
    <x v="83"/>
    <x v="200"/>
    <x v="140"/>
    <x v="235"/>
    <x v="5"/>
    <x v="5"/>
  </r>
  <r>
    <x v="13"/>
    <x v="0"/>
    <x v="0"/>
    <x v="2"/>
    <x v="13"/>
    <x v="13"/>
    <x v="32"/>
    <x v="32"/>
    <x v="32"/>
    <x v="32"/>
    <x v="17"/>
    <x v="146"/>
    <x v="154"/>
    <x v="108"/>
    <x v="213"/>
    <x v="136"/>
    <x v="53"/>
    <x v="5"/>
    <x v="5"/>
  </r>
  <r>
    <x v="13"/>
    <x v="0"/>
    <x v="0"/>
    <x v="2"/>
    <x v="13"/>
    <x v="13"/>
    <x v="18"/>
    <x v="18"/>
    <x v="18"/>
    <x v="18"/>
    <x v="19"/>
    <x v="193"/>
    <x v="206"/>
    <x v="79"/>
    <x v="113"/>
    <x v="93"/>
    <x v="236"/>
    <x v="5"/>
    <x v="5"/>
  </r>
  <r>
    <x v="14"/>
    <x v="0"/>
    <x v="0"/>
    <x v="2"/>
    <x v="14"/>
    <x v="14"/>
    <x v="2"/>
    <x v="2"/>
    <x v="2"/>
    <x v="2"/>
    <x v="0"/>
    <x v="201"/>
    <x v="223"/>
    <x v="157"/>
    <x v="214"/>
    <x v="124"/>
    <x v="237"/>
    <x v="5"/>
    <x v="5"/>
  </r>
  <r>
    <x v="14"/>
    <x v="0"/>
    <x v="0"/>
    <x v="2"/>
    <x v="14"/>
    <x v="14"/>
    <x v="1"/>
    <x v="1"/>
    <x v="1"/>
    <x v="1"/>
    <x v="1"/>
    <x v="202"/>
    <x v="224"/>
    <x v="158"/>
    <x v="215"/>
    <x v="121"/>
    <x v="238"/>
    <x v="8"/>
    <x v="26"/>
  </r>
  <r>
    <x v="14"/>
    <x v="0"/>
    <x v="0"/>
    <x v="2"/>
    <x v="14"/>
    <x v="14"/>
    <x v="0"/>
    <x v="0"/>
    <x v="0"/>
    <x v="0"/>
    <x v="2"/>
    <x v="203"/>
    <x v="225"/>
    <x v="159"/>
    <x v="216"/>
    <x v="176"/>
    <x v="239"/>
    <x v="5"/>
    <x v="5"/>
  </r>
  <r>
    <x v="14"/>
    <x v="0"/>
    <x v="0"/>
    <x v="2"/>
    <x v="14"/>
    <x v="14"/>
    <x v="4"/>
    <x v="4"/>
    <x v="4"/>
    <x v="4"/>
    <x v="3"/>
    <x v="199"/>
    <x v="226"/>
    <x v="108"/>
    <x v="217"/>
    <x v="177"/>
    <x v="240"/>
    <x v="5"/>
    <x v="5"/>
  </r>
  <r>
    <x v="14"/>
    <x v="0"/>
    <x v="0"/>
    <x v="2"/>
    <x v="14"/>
    <x v="14"/>
    <x v="5"/>
    <x v="5"/>
    <x v="5"/>
    <x v="5"/>
    <x v="4"/>
    <x v="204"/>
    <x v="45"/>
    <x v="53"/>
    <x v="218"/>
    <x v="178"/>
    <x v="241"/>
    <x v="5"/>
    <x v="5"/>
  </r>
  <r>
    <x v="14"/>
    <x v="0"/>
    <x v="0"/>
    <x v="2"/>
    <x v="14"/>
    <x v="14"/>
    <x v="3"/>
    <x v="3"/>
    <x v="3"/>
    <x v="3"/>
    <x v="5"/>
    <x v="205"/>
    <x v="227"/>
    <x v="160"/>
    <x v="94"/>
    <x v="76"/>
    <x v="242"/>
    <x v="5"/>
    <x v="5"/>
  </r>
  <r>
    <x v="14"/>
    <x v="0"/>
    <x v="0"/>
    <x v="2"/>
    <x v="14"/>
    <x v="14"/>
    <x v="8"/>
    <x v="8"/>
    <x v="8"/>
    <x v="8"/>
    <x v="6"/>
    <x v="87"/>
    <x v="228"/>
    <x v="82"/>
    <x v="219"/>
    <x v="62"/>
    <x v="243"/>
    <x v="5"/>
    <x v="5"/>
  </r>
  <r>
    <x v="14"/>
    <x v="0"/>
    <x v="0"/>
    <x v="2"/>
    <x v="14"/>
    <x v="14"/>
    <x v="7"/>
    <x v="7"/>
    <x v="7"/>
    <x v="7"/>
    <x v="7"/>
    <x v="53"/>
    <x v="229"/>
    <x v="113"/>
    <x v="220"/>
    <x v="179"/>
    <x v="244"/>
    <x v="5"/>
    <x v="5"/>
  </r>
  <r>
    <x v="14"/>
    <x v="0"/>
    <x v="0"/>
    <x v="2"/>
    <x v="14"/>
    <x v="14"/>
    <x v="6"/>
    <x v="6"/>
    <x v="6"/>
    <x v="6"/>
    <x v="8"/>
    <x v="56"/>
    <x v="230"/>
    <x v="161"/>
    <x v="221"/>
    <x v="121"/>
    <x v="238"/>
    <x v="5"/>
    <x v="5"/>
  </r>
  <r>
    <x v="14"/>
    <x v="0"/>
    <x v="0"/>
    <x v="2"/>
    <x v="14"/>
    <x v="14"/>
    <x v="9"/>
    <x v="9"/>
    <x v="9"/>
    <x v="9"/>
    <x v="9"/>
    <x v="118"/>
    <x v="26"/>
    <x v="50"/>
    <x v="222"/>
    <x v="132"/>
    <x v="245"/>
    <x v="5"/>
    <x v="5"/>
  </r>
  <r>
    <x v="14"/>
    <x v="0"/>
    <x v="0"/>
    <x v="2"/>
    <x v="14"/>
    <x v="14"/>
    <x v="10"/>
    <x v="10"/>
    <x v="10"/>
    <x v="10"/>
    <x v="10"/>
    <x v="121"/>
    <x v="231"/>
    <x v="143"/>
    <x v="176"/>
    <x v="180"/>
    <x v="164"/>
    <x v="5"/>
    <x v="5"/>
  </r>
  <r>
    <x v="14"/>
    <x v="0"/>
    <x v="0"/>
    <x v="2"/>
    <x v="14"/>
    <x v="14"/>
    <x v="13"/>
    <x v="13"/>
    <x v="13"/>
    <x v="13"/>
    <x v="11"/>
    <x v="58"/>
    <x v="71"/>
    <x v="55"/>
    <x v="223"/>
    <x v="146"/>
    <x v="246"/>
    <x v="5"/>
    <x v="5"/>
  </r>
  <r>
    <x v="14"/>
    <x v="0"/>
    <x v="0"/>
    <x v="2"/>
    <x v="14"/>
    <x v="14"/>
    <x v="16"/>
    <x v="16"/>
    <x v="16"/>
    <x v="16"/>
    <x v="12"/>
    <x v="206"/>
    <x v="232"/>
    <x v="56"/>
    <x v="224"/>
    <x v="59"/>
    <x v="145"/>
    <x v="5"/>
    <x v="5"/>
  </r>
  <r>
    <x v="14"/>
    <x v="0"/>
    <x v="0"/>
    <x v="2"/>
    <x v="14"/>
    <x v="14"/>
    <x v="12"/>
    <x v="12"/>
    <x v="12"/>
    <x v="12"/>
    <x v="12"/>
    <x v="206"/>
    <x v="232"/>
    <x v="55"/>
    <x v="223"/>
    <x v="181"/>
    <x v="179"/>
    <x v="5"/>
    <x v="5"/>
  </r>
  <r>
    <x v="14"/>
    <x v="0"/>
    <x v="0"/>
    <x v="2"/>
    <x v="14"/>
    <x v="14"/>
    <x v="11"/>
    <x v="11"/>
    <x v="11"/>
    <x v="11"/>
    <x v="14"/>
    <x v="207"/>
    <x v="233"/>
    <x v="63"/>
    <x v="225"/>
    <x v="140"/>
    <x v="163"/>
    <x v="5"/>
    <x v="5"/>
  </r>
  <r>
    <x v="14"/>
    <x v="0"/>
    <x v="0"/>
    <x v="2"/>
    <x v="14"/>
    <x v="14"/>
    <x v="14"/>
    <x v="14"/>
    <x v="14"/>
    <x v="14"/>
    <x v="15"/>
    <x v="146"/>
    <x v="54"/>
    <x v="79"/>
    <x v="226"/>
    <x v="132"/>
    <x v="245"/>
    <x v="5"/>
    <x v="5"/>
  </r>
  <r>
    <x v="14"/>
    <x v="0"/>
    <x v="0"/>
    <x v="2"/>
    <x v="14"/>
    <x v="14"/>
    <x v="20"/>
    <x v="20"/>
    <x v="20"/>
    <x v="20"/>
    <x v="16"/>
    <x v="147"/>
    <x v="234"/>
    <x v="71"/>
    <x v="227"/>
    <x v="116"/>
    <x v="77"/>
    <x v="8"/>
    <x v="26"/>
  </r>
  <r>
    <x v="14"/>
    <x v="0"/>
    <x v="0"/>
    <x v="2"/>
    <x v="14"/>
    <x v="14"/>
    <x v="18"/>
    <x v="18"/>
    <x v="18"/>
    <x v="18"/>
    <x v="16"/>
    <x v="147"/>
    <x v="234"/>
    <x v="125"/>
    <x v="132"/>
    <x v="122"/>
    <x v="128"/>
    <x v="5"/>
    <x v="5"/>
  </r>
  <r>
    <x v="14"/>
    <x v="0"/>
    <x v="0"/>
    <x v="2"/>
    <x v="14"/>
    <x v="14"/>
    <x v="21"/>
    <x v="21"/>
    <x v="21"/>
    <x v="21"/>
    <x v="18"/>
    <x v="137"/>
    <x v="235"/>
    <x v="79"/>
    <x v="226"/>
    <x v="140"/>
    <x v="163"/>
    <x v="5"/>
    <x v="5"/>
  </r>
  <r>
    <x v="14"/>
    <x v="0"/>
    <x v="0"/>
    <x v="2"/>
    <x v="14"/>
    <x v="14"/>
    <x v="17"/>
    <x v="17"/>
    <x v="17"/>
    <x v="17"/>
    <x v="19"/>
    <x v="208"/>
    <x v="236"/>
    <x v="57"/>
    <x v="88"/>
    <x v="182"/>
    <x v="182"/>
    <x v="5"/>
    <x v="5"/>
  </r>
  <r>
    <x v="15"/>
    <x v="0"/>
    <x v="0"/>
    <x v="2"/>
    <x v="15"/>
    <x v="15"/>
    <x v="0"/>
    <x v="0"/>
    <x v="0"/>
    <x v="0"/>
    <x v="0"/>
    <x v="209"/>
    <x v="237"/>
    <x v="16"/>
    <x v="228"/>
    <x v="183"/>
    <x v="247"/>
    <x v="5"/>
    <x v="5"/>
  </r>
  <r>
    <x v="15"/>
    <x v="0"/>
    <x v="0"/>
    <x v="2"/>
    <x v="15"/>
    <x v="15"/>
    <x v="2"/>
    <x v="2"/>
    <x v="2"/>
    <x v="2"/>
    <x v="1"/>
    <x v="164"/>
    <x v="238"/>
    <x v="42"/>
    <x v="229"/>
    <x v="145"/>
    <x v="248"/>
    <x v="5"/>
    <x v="5"/>
  </r>
  <r>
    <x v="15"/>
    <x v="0"/>
    <x v="0"/>
    <x v="2"/>
    <x v="15"/>
    <x v="15"/>
    <x v="1"/>
    <x v="1"/>
    <x v="1"/>
    <x v="1"/>
    <x v="2"/>
    <x v="210"/>
    <x v="239"/>
    <x v="46"/>
    <x v="230"/>
    <x v="140"/>
    <x v="249"/>
    <x v="5"/>
    <x v="5"/>
  </r>
  <r>
    <x v="15"/>
    <x v="0"/>
    <x v="0"/>
    <x v="2"/>
    <x v="15"/>
    <x v="15"/>
    <x v="5"/>
    <x v="5"/>
    <x v="5"/>
    <x v="5"/>
    <x v="3"/>
    <x v="211"/>
    <x v="240"/>
    <x v="132"/>
    <x v="231"/>
    <x v="165"/>
    <x v="250"/>
    <x v="5"/>
    <x v="5"/>
  </r>
  <r>
    <x v="15"/>
    <x v="0"/>
    <x v="0"/>
    <x v="2"/>
    <x v="15"/>
    <x v="15"/>
    <x v="4"/>
    <x v="4"/>
    <x v="4"/>
    <x v="4"/>
    <x v="4"/>
    <x v="141"/>
    <x v="241"/>
    <x v="124"/>
    <x v="232"/>
    <x v="154"/>
    <x v="251"/>
    <x v="5"/>
    <x v="5"/>
  </r>
  <r>
    <x v="15"/>
    <x v="0"/>
    <x v="0"/>
    <x v="2"/>
    <x v="15"/>
    <x v="15"/>
    <x v="8"/>
    <x v="8"/>
    <x v="8"/>
    <x v="8"/>
    <x v="5"/>
    <x v="212"/>
    <x v="242"/>
    <x v="83"/>
    <x v="152"/>
    <x v="40"/>
    <x v="252"/>
    <x v="5"/>
    <x v="5"/>
  </r>
  <r>
    <x v="15"/>
    <x v="0"/>
    <x v="0"/>
    <x v="2"/>
    <x v="15"/>
    <x v="15"/>
    <x v="3"/>
    <x v="3"/>
    <x v="3"/>
    <x v="3"/>
    <x v="6"/>
    <x v="213"/>
    <x v="243"/>
    <x v="162"/>
    <x v="233"/>
    <x v="49"/>
    <x v="253"/>
    <x v="5"/>
    <x v="5"/>
  </r>
  <r>
    <x v="15"/>
    <x v="0"/>
    <x v="0"/>
    <x v="2"/>
    <x v="15"/>
    <x v="15"/>
    <x v="6"/>
    <x v="6"/>
    <x v="6"/>
    <x v="6"/>
    <x v="7"/>
    <x v="88"/>
    <x v="244"/>
    <x v="163"/>
    <x v="234"/>
    <x v="116"/>
    <x v="69"/>
    <x v="5"/>
    <x v="5"/>
  </r>
  <r>
    <x v="15"/>
    <x v="0"/>
    <x v="0"/>
    <x v="2"/>
    <x v="15"/>
    <x v="15"/>
    <x v="9"/>
    <x v="9"/>
    <x v="9"/>
    <x v="9"/>
    <x v="8"/>
    <x v="120"/>
    <x v="172"/>
    <x v="121"/>
    <x v="235"/>
    <x v="139"/>
    <x v="254"/>
    <x v="5"/>
    <x v="5"/>
  </r>
  <r>
    <x v="15"/>
    <x v="0"/>
    <x v="0"/>
    <x v="2"/>
    <x v="15"/>
    <x v="15"/>
    <x v="7"/>
    <x v="7"/>
    <x v="7"/>
    <x v="7"/>
    <x v="9"/>
    <x v="75"/>
    <x v="245"/>
    <x v="164"/>
    <x v="236"/>
    <x v="184"/>
    <x v="255"/>
    <x v="5"/>
    <x v="5"/>
  </r>
  <r>
    <x v="15"/>
    <x v="0"/>
    <x v="0"/>
    <x v="2"/>
    <x v="15"/>
    <x v="15"/>
    <x v="12"/>
    <x v="12"/>
    <x v="12"/>
    <x v="12"/>
    <x v="10"/>
    <x v="144"/>
    <x v="84"/>
    <x v="81"/>
    <x v="237"/>
    <x v="138"/>
    <x v="256"/>
    <x v="5"/>
    <x v="5"/>
  </r>
  <r>
    <x v="15"/>
    <x v="0"/>
    <x v="0"/>
    <x v="2"/>
    <x v="15"/>
    <x v="15"/>
    <x v="11"/>
    <x v="11"/>
    <x v="11"/>
    <x v="11"/>
    <x v="11"/>
    <x v="214"/>
    <x v="246"/>
    <x v="142"/>
    <x v="238"/>
    <x v="137"/>
    <x v="12"/>
    <x v="5"/>
    <x v="5"/>
  </r>
  <r>
    <x v="15"/>
    <x v="0"/>
    <x v="0"/>
    <x v="2"/>
    <x v="15"/>
    <x v="15"/>
    <x v="13"/>
    <x v="13"/>
    <x v="13"/>
    <x v="13"/>
    <x v="12"/>
    <x v="157"/>
    <x v="140"/>
    <x v="63"/>
    <x v="24"/>
    <x v="93"/>
    <x v="257"/>
    <x v="5"/>
    <x v="5"/>
  </r>
  <r>
    <x v="15"/>
    <x v="0"/>
    <x v="0"/>
    <x v="2"/>
    <x v="15"/>
    <x v="15"/>
    <x v="10"/>
    <x v="10"/>
    <x v="10"/>
    <x v="10"/>
    <x v="13"/>
    <x v="136"/>
    <x v="247"/>
    <x v="103"/>
    <x v="104"/>
    <x v="185"/>
    <x v="258"/>
    <x v="5"/>
    <x v="5"/>
  </r>
  <r>
    <x v="15"/>
    <x v="0"/>
    <x v="0"/>
    <x v="2"/>
    <x v="15"/>
    <x v="15"/>
    <x v="14"/>
    <x v="14"/>
    <x v="14"/>
    <x v="14"/>
    <x v="14"/>
    <x v="215"/>
    <x v="248"/>
    <x v="71"/>
    <x v="164"/>
    <x v="137"/>
    <x v="12"/>
    <x v="5"/>
    <x v="5"/>
  </r>
  <r>
    <x v="15"/>
    <x v="0"/>
    <x v="0"/>
    <x v="2"/>
    <x v="15"/>
    <x v="15"/>
    <x v="23"/>
    <x v="23"/>
    <x v="23"/>
    <x v="23"/>
    <x v="15"/>
    <x v="137"/>
    <x v="249"/>
    <x v="56"/>
    <x v="239"/>
    <x v="116"/>
    <x v="69"/>
    <x v="8"/>
    <x v="28"/>
  </r>
  <r>
    <x v="15"/>
    <x v="0"/>
    <x v="0"/>
    <x v="2"/>
    <x v="15"/>
    <x v="15"/>
    <x v="21"/>
    <x v="21"/>
    <x v="21"/>
    <x v="21"/>
    <x v="16"/>
    <x v="148"/>
    <x v="76"/>
    <x v="126"/>
    <x v="15"/>
    <x v="87"/>
    <x v="259"/>
    <x v="5"/>
    <x v="5"/>
  </r>
  <r>
    <x v="15"/>
    <x v="0"/>
    <x v="0"/>
    <x v="2"/>
    <x v="15"/>
    <x v="15"/>
    <x v="17"/>
    <x v="17"/>
    <x v="17"/>
    <x v="17"/>
    <x v="17"/>
    <x v="216"/>
    <x v="127"/>
    <x v="54"/>
    <x v="175"/>
    <x v="136"/>
    <x v="260"/>
    <x v="5"/>
    <x v="5"/>
  </r>
  <r>
    <x v="15"/>
    <x v="0"/>
    <x v="0"/>
    <x v="2"/>
    <x v="15"/>
    <x v="15"/>
    <x v="16"/>
    <x v="16"/>
    <x v="16"/>
    <x v="16"/>
    <x v="18"/>
    <x v="208"/>
    <x v="17"/>
    <x v="56"/>
    <x v="239"/>
    <x v="114"/>
    <x v="156"/>
    <x v="5"/>
    <x v="5"/>
  </r>
  <r>
    <x v="15"/>
    <x v="0"/>
    <x v="0"/>
    <x v="2"/>
    <x v="15"/>
    <x v="15"/>
    <x v="32"/>
    <x v="32"/>
    <x v="32"/>
    <x v="32"/>
    <x v="19"/>
    <x v="217"/>
    <x v="207"/>
    <x v="54"/>
    <x v="175"/>
    <x v="135"/>
    <x v="162"/>
    <x v="5"/>
    <x v="5"/>
  </r>
  <r>
    <x v="16"/>
    <x v="0"/>
    <x v="0"/>
    <x v="2"/>
    <x v="16"/>
    <x v="16"/>
    <x v="2"/>
    <x v="2"/>
    <x v="2"/>
    <x v="2"/>
    <x v="0"/>
    <x v="69"/>
    <x v="250"/>
    <x v="165"/>
    <x v="240"/>
    <x v="132"/>
    <x v="261"/>
    <x v="5"/>
    <x v="5"/>
  </r>
  <r>
    <x v="16"/>
    <x v="0"/>
    <x v="0"/>
    <x v="2"/>
    <x v="16"/>
    <x v="16"/>
    <x v="0"/>
    <x v="0"/>
    <x v="0"/>
    <x v="0"/>
    <x v="1"/>
    <x v="104"/>
    <x v="251"/>
    <x v="52"/>
    <x v="241"/>
    <x v="69"/>
    <x v="262"/>
    <x v="5"/>
    <x v="5"/>
  </r>
  <r>
    <x v="16"/>
    <x v="0"/>
    <x v="0"/>
    <x v="2"/>
    <x v="16"/>
    <x v="16"/>
    <x v="4"/>
    <x v="4"/>
    <x v="4"/>
    <x v="4"/>
    <x v="2"/>
    <x v="218"/>
    <x v="252"/>
    <x v="126"/>
    <x v="88"/>
    <x v="108"/>
    <x v="263"/>
    <x v="5"/>
    <x v="5"/>
  </r>
  <r>
    <x v="16"/>
    <x v="0"/>
    <x v="0"/>
    <x v="2"/>
    <x v="16"/>
    <x v="16"/>
    <x v="5"/>
    <x v="5"/>
    <x v="5"/>
    <x v="5"/>
    <x v="3"/>
    <x v="155"/>
    <x v="253"/>
    <x v="124"/>
    <x v="242"/>
    <x v="89"/>
    <x v="264"/>
    <x v="5"/>
    <x v="5"/>
  </r>
  <r>
    <x v="16"/>
    <x v="0"/>
    <x v="0"/>
    <x v="2"/>
    <x v="16"/>
    <x v="16"/>
    <x v="10"/>
    <x v="10"/>
    <x v="10"/>
    <x v="10"/>
    <x v="4"/>
    <x v="219"/>
    <x v="254"/>
    <x v="62"/>
    <x v="7"/>
    <x v="48"/>
    <x v="172"/>
    <x v="5"/>
    <x v="5"/>
  </r>
  <r>
    <x v="16"/>
    <x v="0"/>
    <x v="0"/>
    <x v="2"/>
    <x v="16"/>
    <x v="16"/>
    <x v="9"/>
    <x v="9"/>
    <x v="9"/>
    <x v="9"/>
    <x v="5"/>
    <x v="90"/>
    <x v="255"/>
    <x v="92"/>
    <x v="243"/>
    <x v="185"/>
    <x v="265"/>
    <x v="5"/>
    <x v="5"/>
  </r>
  <r>
    <x v="16"/>
    <x v="0"/>
    <x v="0"/>
    <x v="2"/>
    <x v="16"/>
    <x v="16"/>
    <x v="7"/>
    <x v="7"/>
    <x v="7"/>
    <x v="7"/>
    <x v="6"/>
    <x v="220"/>
    <x v="134"/>
    <x v="92"/>
    <x v="243"/>
    <x v="186"/>
    <x v="266"/>
    <x v="5"/>
    <x v="5"/>
  </r>
  <r>
    <x v="16"/>
    <x v="0"/>
    <x v="0"/>
    <x v="2"/>
    <x v="16"/>
    <x v="16"/>
    <x v="1"/>
    <x v="1"/>
    <x v="1"/>
    <x v="1"/>
    <x v="7"/>
    <x v="58"/>
    <x v="256"/>
    <x v="166"/>
    <x v="244"/>
    <x v="179"/>
    <x v="10"/>
    <x v="5"/>
    <x v="5"/>
  </r>
  <r>
    <x v="16"/>
    <x v="0"/>
    <x v="0"/>
    <x v="2"/>
    <x v="16"/>
    <x v="16"/>
    <x v="3"/>
    <x v="3"/>
    <x v="3"/>
    <x v="3"/>
    <x v="8"/>
    <x v="221"/>
    <x v="257"/>
    <x v="124"/>
    <x v="242"/>
    <x v="181"/>
    <x v="267"/>
    <x v="5"/>
    <x v="5"/>
  </r>
  <r>
    <x v="16"/>
    <x v="0"/>
    <x v="0"/>
    <x v="2"/>
    <x v="16"/>
    <x v="16"/>
    <x v="8"/>
    <x v="8"/>
    <x v="8"/>
    <x v="8"/>
    <x v="9"/>
    <x v="214"/>
    <x v="258"/>
    <x v="71"/>
    <x v="44"/>
    <x v="115"/>
    <x v="268"/>
    <x v="5"/>
    <x v="5"/>
  </r>
  <r>
    <x v="16"/>
    <x v="0"/>
    <x v="0"/>
    <x v="2"/>
    <x v="16"/>
    <x v="16"/>
    <x v="6"/>
    <x v="6"/>
    <x v="6"/>
    <x v="6"/>
    <x v="10"/>
    <x v="92"/>
    <x v="259"/>
    <x v="72"/>
    <x v="245"/>
    <x v="182"/>
    <x v="125"/>
    <x v="5"/>
    <x v="5"/>
  </r>
  <r>
    <x v="16"/>
    <x v="0"/>
    <x v="0"/>
    <x v="2"/>
    <x v="16"/>
    <x v="16"/>
    <x v="13"/>
    <x v="13"/>
    <x v="13"/>
    <x v="13"/>
    <x v="11"/>
    <x v="146"/>
    <x v="71"/>
    <x v="93"/>
    <x v="246"/>
    <x v="180"/>
    <x v="73"/>
    <x v="5"/>
    <x v="5"/>
  </r>
  <r>
    <x v="16"/>
    <x v="0"/>
    <x v="0"/>
    <x v="2"/>
    <x v="16"/>
    <x v="16"/>
    <x v="12"/>
    <x v="12"/>
    <x v="12"/>
    <x v="12"/>
    <x v="12"/>
    <x v="215"/>
    <x v="260"/>
    <x v="93"/>
    <x v="246"/>
    <x v="87"/>
    <x v="269"/>
    <x v="5"/>
    <x v="5"/>
  </r>
  <r>
    <x v="16"/>
    <x v="0"/>
    <x v="0"/>
    <x v="2"/>
    <x v="16"/>
    <x v="16"/>
    <x v="23"/>
    <x v="23"/>
    <x v="23"/>
    <x v="23"/>
    <x v="12"/>
    <x v="215"/>
    <x v="260"/>
    <x v="84"/>
    <x v="89"/>
    <x v="145"/>
    <x v="173"/>
    <x v="5"/>
    <x v="5"/>
  </r>
  <r>
    <x v="16"/>
    <x v="0"/>
    <x v="0"/>
    <x v="2"/>
    <x v="16"/>
    <x v="16"/>
    <x v="16"/>
    <x v="16"/>
    <x v="16"/>
    <x v="16"/>
    <x v="14"/>
    <x v="222"/>
    <x v="261"/>
    <x v="125"/>
    <x v="247"/>
    <x v="180"/>
    <x v="73"/>
    <x v="5"/>
    <x v="5"/>
  </r>
  <r>
    <x v="16"/>
    <x v="0"/>
    <x v="0"/>
    <x v="2"/>
    <x v="16"/>
    <x v="16"/>
    <x v="14"/>
    <x v="14"/>
    <x v="14"/>
    <x v="14"/>
    <x v="15"/>
    <x v="223"/>
    <x v="262"/>
    <x v="56"/>
    <x v="18"/>
    <x v="136"/>
    <x v="57"/>
    <x v="5"/>
    <x v="5"/>
  </r>
  <r>
    <x v="16"/>
    <x v="0"/>
    <x v="0"/>
    <x v="2"/>
    <x v="16"/>
    <x v="16"/>
    <x v="28"/>
    <x v="28"/>
    <x v="28"/>
    <x v="28"/>
    <x v="15"/>
    <x v="223"/>
    <x v="262"/>
    <x v="54"/>
    <x v="248"/>
    <x v="185"/>
    <x v="265"/>
    <x v="5"/>
    <x v="5"/>
  </r>
  <r>
    <x v="16"/>
    <x v="0"/>
    <x v="0"/>
    <x v="2"/>
    <x v="16"/>
    <x v="16"/>
    <x v="24"/>
    <x v="24"/>
    <x v="24"/>
    <x v="24"/>
    <x v="17"/>
    <x v="224"/>
    <x v="36"/>
    <x v="56"/>
    <x v="18"/>
    <x v="182"/>
    <x v="125"/>
    <x v="8"/>
    <x v="28"/>
  </r>
  <r>
    <x v="16"/>
    <x v="0"/>
    <x v="0"/>
    <x v="2"/>
    <x v="16"/>
    <x v="16"/>
    <x v="20"/>
    <x v="20"/>
    <x v="20"/>
    <x v="20"/>
    <x v="18"/>
    <x v="225"/>
    <x v="236"/>
    <x v="125"/>
    <x v="247"/>
    <x v="185"/>
    <x v="265"/>
    <x v="5"/>
    <x v="5"/>
  </r>
  <r>
    <x v="16"/>
    <x v="0"/>
    <x v="0"/>
    <x v="2"/>
    <x v="16"/>
    <x v="16"/>
    <x v="33"/>
    <x v="33"/>
    <x v="33"/>
    <x v="33"/>
    <x v="18"/>
    <x v="225"/>
    <x v="236"/>
    <x v="125"/>
    <x v="247"/>
    <x v="185"/>
    <x v="265"/>
    <x v="5"/>
    <x v="5"/>
  </r>
  <r>
    <x v="16"/>
    <x v="0"/>
    <x v="0"/>
    <x v="2"/>
    <x v="16"/>
    <x v="16"/>
    <x v="17"/>
    <x v="17"/>
    <x v="17"/>
    <x v="17"/>
    <x v="18"/>
    <x v="225"/>
    <x v="236"/>
    <x v="71"/>
    <x v="44"/>
    <x v="187"/>
    <x v="270"/>
    <x v="5"/>
    <x v="5"/>
  </r>
  <r>
    <x v="17"/>
    <x v="0"/>
    <x v="0"/>
    <x v="2"/>
    <x v="17"/>
    <x v="17"/>
    <x v="2"/>
    <x v="2"/>
    <x v="2"/>
    <x v="2"/>
    <x v="0"/>
    <x v="226"/>
    <x v="263"/>
    <x v="73"/>
    <x v="249"/>
    <x v="142"/>
    <x v="271"/>
    <x v="5"/>
    <x v="5"/>
  </r>
  <r>
    <x v="17"/>
    <x v="0"/>
    <x v="0"/>
    <x v="2"/>
    <x v="17"/>
    <x v="17"/>
    <x v="4"/>
    <x v="4"/>
    <x v="4"/>
    <x v="4"/>
    <x v="1"/>
    <x v="151"/>
    <x v="264"/>
    <x v="161"/>
    <x v="250"/>
    <x v="188"/>
    <x v="272"/>
    <x v="5"/>
    <x v="5"/>
  </r>
  <r>
    <x v="17"/>
    <x v="0"/>
    <x v="0"/>
    <x v="2"/>
    <x v="17"/>
    <x v="17"/>
    <x v="5"/>
    <x v="5"/>
    <x v="5"/>
    <x v="5"/>
    <x v="2"/>
    <x v="65"/>
    <x v="265"/>
    <x v="92"/>
    <x v="251"/>
    <x v="166"/>
    <x v="273"/>
    <x v="5"/>
    <x v="5"/>
  </r>
  <r>
    <x v="17"/>
    <x v="0"/>
    <x v="0"/>
    <x v="2"/>
    <x v="17"/>
    <x v="17"/>
    <x v="0"/>
    <x v="0"/>
    <x v="0"/>
    <x v="0"/>
    <x v="3"/>
    <x v="168"/>
    <x v="266"/>
    <x v="80"/>
    <x v="252"/>
    <x v="62"/>
    <x v="274"/>
    <x v="8"/>
    <x v="26"/>
  </r>
  <r>
    <x v="17"/>
    <x v="0"/>
    <x v="0"/>
    <x v="2"/>
    <x v="17"/>
    <x v="17"/>
    <x v="1"/>
    <x v="1"/>
    <x v="1"/>
    <x v="1"/>
    <x v="4"/>
    <x v="227"/>
    <x v="267"/>
    <x v="167"/>
    <x v="253"/>
    <x v="140"/>
    <x v="15"/>
    <x v="5"/>
    <x v="5"/>
  </r>
  <r>
    <x v="17"/>
    <x v="0"/>
    <x v="0"/>
    <x v="2"/>
    <x v="17"/>
    <x v="17"/>
    <x v="8"/>
    <x v="8"/>
    <x v="8"/>
    <x v="8"/>
    <x v="5"/>
    <x v="153"/>
    <x v="268"/>
    <x v="75"/>
    <x v="254"/>
    <x v="80"/>
    <x v="118"/>
    <x v="5"/>
    <x v="5"/>
  </r>
  <r>
    <x v="17"/>
    <x v="0"/>
    <x v="0"/>
    <x v="2"/>
    <x v="17"/>
    <x v="17"/>
    <x v="9"/>
    <x v="9"/>
    <x v="9"/>
    <x v="9"/>
    <x v="6"/>
    <x v="50"/>
    <x v="269"/>
    <x v="168"/>
    <x v="255"/>
    <x v="54"/>
    <x v="275"/>
    <x v="8"/>
    <x v="26"/>
  </r>
  <r>
    <x v="17"/>
    <x v="0"/>
    <x v="0"/>
    <x v="2"/>
    <x v="17"/>
    <x v="17"/>
    <x v="3"/>
    <x v="3"/>
    <x v="3"/>
    <x v="3"/>
    <x v="7"/>
    <x v="218"/>
    <x v="244"/>
    <x v="107"/>
    <x v="256"/>
    <x v="170"/>
    <x v="276"/>
    <x v="5"/>
    <x v="5"/>
  </r>
  <r>
    <x v="17"/>
    <x v="0"/>
    <x v="0"/>
    <x v="2"/>
    <x v="17"/>
    <x v="17"/>
    <x v="6"/>
    <x v="6"/>
    <x v="6"/>
    <x v="6"/>
    <x v="8"/>
    <x v="117"/>
    <x v="258"/>
    <x v="162"/>
    <x v="257"/>
    <x v="181"/>
    <x v="179"/>
    <x v="5"/>
    <x v="5"/>
  </r>
  <r>
    <x v="17"/>
    <x v="0"/>
    <x v="0"/>
    <x v="2"/>
    <x v="17"/>
    <x v="17"/>
    <x v="7"/>
    <x v="7"/>
    <x v="7"/>
    <x v="7"/>
    <x v="8"/>
    <x v="117"/>
    <x v="258"/>
    <x v="169"/>
    <x v="258"/>
    <x v="189"/>
    <x v="277"/>
    <x v="5"/>
    <x v="5"/>
  </r>
  <r>
    <x v="17"/>
    <x v="0"/>
    <x v="0"/>
    <x v="2"/>
    <x v="17"/>
    <x v="17"/>
    <x v="10"/>
    <x v="10"/>
    <x v="10"/>
    <x v="10"/>
    <x v="10"/>
    <x v="220"/>
    <x v="270"/>
    <x v="69"/>
    <x v="259"/>
    <x v="137"/>
    <x v="10"/>
    <x v="5"/>
    <x v="5"/>
  </r>
  <r>
    <x v="17"/>
    <x v="0"/>
    <x v="0"/>
    <x v="2"/>
    <x v="17"/>
    <x v="17"/>
    <x v="13"/>
    <x v="13"/>
    <x v="13"/>
    <x v="13"/>
    <x v="11"/>
    <x v="77"/>
    <x v="271"/>
    <x v="108"/>
    <x v="260"/>
    <x v="138"/>
    <x v="278"/>
    <x v="5"/>
    <x v="5"/>
  </r>
  <r>
    <x v="17"/>
    <x v="0"/>
    <x v="0"/>
    <x v="2"/>
    <x v="17"/>
    <x v="17"/>
    <x v="12"/>
    <x v="12"/>
    <x v="12"/>
    <x v="12"/>
    <x v="12"/>
    <x v="122"/>
    <x v="175"/>
    <x v="103"/>
    <x v="261"/>
    <x v="145"/>
    <x v="110"/>
    <x v="5"/>
    <x v="5"/>
  </r>
  <r>
    <x v="17"/>
    <x v="0"/>
    <x v="0"/>
    <x v="2"/>
    <x v="17"/>
    <x v="17"/>
    <x v="23"/>
    <x v="23"/>
    <x v="23"/>
    <x v="23"/>
    <x v="13"/>
    <x v="134"/>
    <x v="34"/>
    <x v="84"/>
    <x v="89"/>
    <x v="115"/>
    <x v="279"/>
    <x v="5"/>
    <x v="5"/>
  </r>
  <r>
    <x v="17"/>
    <x v="0"/>
    <x v="0"/>
    <x v="2"/>
    <x v="17"/>
    <x v="17"/>
    <x v="32"/>
    <x v="32"/>
    <x v="32"/>
    <x v="32"/>
    <x v="14"/>
    <x v="123"/>
    <x v="272"/>
    <x v="95"/>
    <x v="162"/>
    <x v="135"/>
    <x v="7"/>
    <x v="5"/>
    <x v="5"/>
  </r>
  <r>
    <x v="17"/>
    <x v="0"/>
    <x v="0"/>
    <x v="2"/>
    <x v="17"/>
    <x v="17"/>
    <x v="14"/>
    <x v="14"/>
    <x v="14"/>
    <x v="14"/>
    <x v="15"/>
    <x v="158"/>
    <x v="273"/>
    <x v="56"/>
    <x v="239"/>
    <x v="190"/>
    <x v="211"/>
    <x v="5"/>
    <x v="5"/>
  </r>
  <r>
    <x v="17"/>
    <x v="0"/>
    <x v="0"/>
    <x v="2"/>
    <x v="17"/>
    <x v="17"/>
    <x v="16"/>
    <x v="16"/>
    <x v="16"/>
    <x v="16"/>
    <x v="16"/>
    <x v="146"/>
    <x v="274"/>
    <x v="126"/>
    <x v="227"/>
    <x v="93"/>
    <x v="92"/>
    <x v="5"/>
    <x v="5"/>
  </r>
  <r>
    <x v="17"/>
    <x v="0"/>
    <x v="0"/>
    <x v="2"/>
    <x v="17"/>
    <x v="17"/>
    <x v="11"/>
    <x v="11"/>
    <x v="11"/>
    <x v="11"/>
    <x v="17"/>
    <x v="228"/>
    <x v="109"/>
    <x v="93"/>
    <x v="165"/>
    <x v="135"/>
    <x v="7"/>
    <x v="5"/>
    <x v="5"/>
  </r>
  <r>
    <x v="17"/>
    <x v="0"/>
    <x v="0"/>
    <x v="2"/>
    <x v="17"/>
    <x v="17"/>
    <x v="20"/>
    <x v="20"/>
    <x v="20"/>
    <x v="20"/>
    <x v="18"/>
    <x v="222"/>
    <x v="142"/>
    <x v="79"/>
    <x v="262"/>
    <x v="131"/>
    <x v="280"/>
    <x v="5"/>
    <x v="5"/>
  </r>
  <r>
    <x v="17"/>
    <x v="0"/>
    <x v="0"/>
    <x v="2"/>
    <x v="17"/>
    <x v="17"/>
    <x v="15"/>
    <x v="15"/>
    <x v="15"/>
    <x v="15"/>
    <x v="19"/>
    <x v="148"/>
    <x v="18"/>
    <x v="71"/>
    <x v="164"/>
    <x v="167"/>
    <x v="281"/>
    <x v="5"/>
    <x v="5"/>
  </r>
  <r>
    <x v="17"/>
    <x v="0"/>
    <x v="0"/>
    <x v="2"/>
    <x v="17"/>
    <x v="17"/>
    <x v="21"/>
    <x v="21"/>
    <x v="21"/>
    <x v="21"/>
    <x v="19"/>
    <x v="148"/>
    <x v="18"/>
    <x v="54"/>
    <x v="263"/>
    <x v="139"/>
    <x v="282"/>
    <x v="5"/>
    <x v="5"/>
  </r>
  <r>
    <x v="17"/>
    <x v="0"/>
    <x v="0"/>
    <x v="2"/>
    <x v="17"/>
    <x v="17"/>
    <x v="17"/>
    <x v="17"/>
    <x v="17"/>
    <x v="17"/>
    <x v="19"/>
    <x v="148"/>
    <x v="18"/>
    <x v="97"/>
    <x v="121"/>
    <x v="182"/>
    <x v="182"/>
    <x v="5"/>
    <x v="5"/>
  </r>
  <r>
    <x v="18"/>
    <x v="0"/>
    <x v="0"/>
    <x v="2"/>
    <x v="18"/>
    <x v="18"/>
    <x v="2"/>
    <x v="2"/>
    <x v="2"/>
    <x v="2"/>
    <x v="0"/>
    <x v="229"/>
    <x v="275"/>
    <x v="170"/>
    <x v="264"/>
    <x v="149"/>
    <x v="148"/>
    <x v="8"/>
    <x v="31"/>
  </r>
  <r>
    <x v="18"/>
    <x v="0"/>
    <x v="0"/>
    <x v="2"/>
    <x v="18"/>
    <x v="18"/>
    <x v="0"/>
    <x v="0"/>
    <x v="0"/>
    <x v="0"/>
    <x v="1"/>
    <x v="230"/>
    <x v="77"/>
    <x v="75"/>
    <x v="265"/>
    <x v="191"/>
    <x v="283"/>
    <x v="8"/>
    <x v="31"/>
  </r>
  <r>
    <x v="18"/>
    <x v="0"/>
    <x v="0"/>
    <x v="2"/>
    <x v="18"/>
    <x v="18"/>
    <x v="1"/>
    <x v="1"/>
    <x v="1"/>
    <x v="1"/>
    <x v="2"/>
    <x v="80"/>
    <x v="276"/>
    <x v="141"/>
    <x v="266"/>
    <x v="192"/>
    <x v="284"/>
    <x v="5"/>
    <x v="5"/>
  </r>
  <r>
    <x v="18"/>
    <x v="0"/>
    <x v="0"/>
    <x v="2"/>
    <x v="18"/>
    <x v="18"/>
    <x v="9"/>
    <x v="9"/>
    <x v="9"/>
    <x v="9"/>
    <x v="3"/>
    <x v="231"/>
    <x v="277"/>
    <x v="171"/>
    <x v="267"/>
    <x v="155"/>
    <x v="261"/>
    <x v="8"/>
    <x v="31"/>
  </r>
  <r>
    <x v="18"/>
    <x v="0"/>
    <x v="0"/>
    <x v="2"/>
    <x v="18"/>
    <x v="18"/>
    <x v="3"/>
    <x v="3"/>
    <x v="3"/>
    <x v="3"/>
    <x v="4"/>
    <x v="232"/>
    <x v="278"/>
    <x v="113"/>
    <x v="158"/>
    <x v="193"/>
    <x v="285"/>
    <x v="5"/>
    <x v="5"/>
  </r>
  <r>
    <x v="18"/>
    <x v="0"/>
    <x v="0"/>
    <x v="2"/>
    <x v="18"/>
    <x v="18"/>
    <x v="7"/>
    <x v="7"/>
    <x v="7"/>
    <x v="7"/>
    <x v="5"/>
    <x v="233"/>
    <x v="279"/>
    <x v="172"/>
    <x v="268"/>
    <x v="142"/>
    <x v="280"/>
    <x v="5"/>
    <x v="5"/>
  </r>
  <r>
    <x v="18"/>
    <x v="0"/>
    <x v="0"/>
    <x v="2"/>
    <x v="18"/>
    <x v="18"/>
    <x v="10"/>
    <x v="10"/>
    <x v="10"/>
    <x v="10"/>
    <x v="6"/>
    <x v="82"/>
    <x v="280"/>
    <x v="96"/>
    <x v="269"/>
    <x v="68"/>
    <x v="67"/>
    <x v="5"/>
    <x v="5"/>
  </r>
  <r>
    <x v="18"/>
    <x v="0"/>
    <x v="0"/>
    <x v="2"/>
    <x v="18"/>
    <x v="18"/>
    <x v="4"/>
    <x v="4"/>
    <x v="4"/>
    <x v="4"/>
    <x v="7"/>
    <x v="151"/>
    <x v="281"/>
    <x v="75"/>
    <x v="265"/>
    <x v="194"/>
    <x v="286"/>
    <x v="5"/>
    <x v="5"/>
  </r>
  <r>
    <x v="18"/>
    <x v="0"/>
    <x v="0"/>
    <x v="2"/>
    <x v="18"/>
    <x v="18"/>
    <x v="11"/>
    <x v="11"/>
    <x v="11"/>
    <x v="11"/>
    <x v="8"/>
    <x v="234"/>
    <x v="282"/>
    <x v="173"/>
    <x v="270"/>
    <x v="50"/>
    <x v="231"/>
    <x v="5"/>
    <x v="5"/>
  </r>
  <r>
    <x v="18"/>
    <x v="0"/>
    <x v="0"/>
    <x v="2"/>
    <x v="18"/>
    <x v="18"/>
    <x v="6"/>
    <x v="6"/>
    <x v="6"/>
    <x v="6"/>
    <x v="9"/>
    <x v="235"/>
    <x v="283"/>
    <x v="144"/>
    <x v="271"/>
    <x v="83"/>
    <x v="287"/>
    <x v="5"/>
    <x v="5"/>
  </r>
  <r>
    <x v="18"/>
    <x v="0"/>
    <x v="0"/>
    <x v="2"/>
    <x v="18"/>
    <x v="18"/>
    <x v="5"/>
    <x v="5"/>
    <x v="5"/>
    <x v="5"/>
    <x v="10"/>
    <x v="104"/>
    <x v="284"/>
    <x v="137"/>
    <x v="181"/>
    <x v="155"/>
    <x v="261"/>
    <x v="5"/>
    <x v="5"/>
  </r>
  <r>
    <x v="18"/>
    <x v="0"/>
    <x v="0"/>
    <x v="2"/>
    <x v="18"/>
    <x v="18"/>
    <x v="13"/>
    <x v="13"/>
    <x v="13"/>
    <x v="13"/>
    <x v="11"/>
    <x v="178"/>
    <x v="164"/>
    <x v="95"/>
    <x v="232"/>
    <x v="141"/>
    <x v="41"/>
    <x v="5"/>
    <x v="5"/>
  </r>
  <r>
    <x v="18"/>
    <x v="0"/>
    <x v="0"/>
    <x v="2"/>
    <x v="18"/>
    <x v="18"/>
    <x v="8"/>
    <x v="8"/>
    <x v="8"/>
    <x v="8"/>
    <x v="12"/>
    <x v="87"/>
    <x v="120"/>
    <x v="126"/>
    <x v="247"/>
    <x v="195"/>
    <x v="279"/>
    <x v="5"/>
    <x v="5"/>
  </r>
  <r>
    <x v="18"/>
    <x v="0"/>
    <x v="0"/>
    <x v="2"/>
    <x v="18"/>
    <x v="18"/>
    <x v="12"/>
    <x v="12"/>
    <x v="12"/>
    <x v="12"/>
    <x v="13"/>
    <x v="117"/>
    <x v="90"/>
    <x v="115"/>
    <x v="272"/>
    <x v="52"/>
    <x v="288"/>
    <x v="5"/>
    <x v="5"/>
  </r>
  <r>
    <x v="18"/>
    <x v="0"/>
    <x v="0"/>
    <x v="2"/>
    <x v="18"/>
    <x v="18"/>
    <x v="14"/>
    <x v="14"/>
    <x v="14"/>
    <x v="14"/>
    <x v="14"/>
    <x v="89"/>
    <x v="285"/>
    <x v="79"/>
    <x v="113"/>
    <x v="69"/>
    <x v="68"/>
    <x v="5"/>
    <x v="5"/>
  </r>
  <r>
    <x v="18"/>
    <x v="0"/>
    <x v="0"/>
    <x v="2"/>
    <x v="18"/>
    <x v="18"/>
    <x v="24"/>
    <x v="24"/>
    <x v="24"/>
    <x v="24"/>
    <x v="15"/>
    <x v="144"/>
    <x v="189"/>
    <x v="79"/>
    <x v="113"/>
    <x v="170"/>
    <x v="289"/>
    <x v="4"/>
    <x v="24"/>
  </r>
  <r>
    <x v="18"/>
    <x v="0"/>
    <x v="0"/>
    <x v="2"/>
    <x v="18"/>
    <x v="18"/>
    <x v="16"/>
    <x v="16"/>
    <x v="16"/>
    <x v="16"/>
    <x v="16"/>
    <x v="77"/>
    <x v="286"/>
    <x v="125"/>
    <x v="16"/>
    <x v="92"/>
    <x v="290"/>
    <x v="5"/>
    <x v="5"/>
  </r>
  <r>
    <x v="18"/>
    <x v="0"/>
    <x v="0"/>
    <x v="2"/>
    <x v="18"/>
    <x v="18"/>
    <x v="20"/>
    <x v="20"/>
    <x v="20"/>
    <x v="20"/>
    <x v="17"/>
    <x v="200"/>
    <x v="287"/>
    <x v="126"/>
    <x v="247"/>
    <x v="75"/>
    <x v="74"/>
    <x v="5"/>
    <x v="5"/>
  </r>
  <r>
    <x v="18"/>
    <x v="0"/>
    <x v="0"/>
    <x v="2"/>
    <x v="18"/>
    <x v="18"/>
    <x v="33"/>
    <x v="33"/>
    <x v="33"/>
    <x v="33"/>
    <x v="18"/>
    <x v="236"/>
    <x v="205"/>
    <x v="79"/>
    <x v="113"/>
    <x v="142"/>
    <x v="280"/>
    <x v="5"/>
    <x v="5"/>
  </r>
  <r>
    <x v="18"/>
    <x v="0"/>
    <x v="0"/>
    <x v="2"/>
    <x v="18"/>
    <x v="18"/>
    <x v="17"/>
    <x v="17"/>
    <x v="17"/>
    <x v="17"/>
    <x v="19"/>
    <x v="91"/>
    <x v="39"/>
    <x v="63"/>
    <x v="273"/>
    <x v="133"/>
    <x v="17"/>
    <x v="5"/>
    <x v="5"/>
  </r>
  <r>
    <x v="19"/>
    <x v="0"/>
    <x v="0"/>
    <x v="2"/>
    <x v="19"/>
    <x v="19"/>
    <x v="0"/>
    <x v="0"/>
    <x v="0"/>
    <x v="0"/>
    <x v="0"/>
    <x v="237"/>
    <x v="288"/>
    <x v="49"/>
    <x v="274"/>
    <x v="196"/>
    <x v="291"/>
    <x v="8"/>
    <x v="27"/>
  </r>
  <r>
    <x v="19"/>
    <x v="0"/>
    <x v="0"/>
    <x v="2"/>
    <x v="19"/>
    <x v="19"/>
    <x v="2"/>
    <x v="2"/>
    <x v="2"/>
    <x v="2"/>
    <x v="1"/>
    <x v="238"/>
    <x v="289"/>
    <x v="174"/>
    <x v="275"/>
    <x v="197"/>
    <x v="172"/>
    <x v="5"/>
    <x v="5"/>
  </r>
  <r>
    <x v="19"/>
    <x v="0"/>
    <x v="0"/>
    <x v="2"/>
    <x v="19"/>
    <x v="19"/>
    <x v="4"/>
    <x v="4"/>
    <x v="4"/>
    <x v="4"/>
    <x v="2"/>
    <x v="47"/>
    <x v="290"/>
    <x v="53"/>
    <x v="276"/>
    <x v="198"/>
    <x v="286"/>
    <x v="5"/>
    <x v="5"/>
  </r>
  <r>
    <x v="19"/>
    <x v="0"/>
    <x v="0"/>
    <x v="2"/>
    <x v="19"/>
    <x v="19"/>
    <x v="5"/>
    <x v="5"/>
    <x v="5"/>
    <x v="5"/>
    <x v="3"/>
    <x v="63"/>
    <x v="291"/>
    <x v="66"/>
    <x v="45"/>
    <x v="199"/>
    <x v="292"/>
    <x v="5"/>
    <x v="5"/>
  </r>
  <r>
    <x v="19"/>
    <x v="0"/>
    <x v="0"/>
    <x v="2"/>
    <x v="19"/>
    <x v="19"/>
    <x v="15"/>
    <x v="15"/>
    <x v="15"/>
    <x v="15"/>
    <x v="4"/>
    <x v="210"/>
    <x v="292"/>
    <x v="115"/>
    <x v="136"/>
    <x v="164"/>
    <x v="293"/>
    <x v="5"/>
    <x v="5"/>
  </r>
  <r>
    <x v="19"/>
    <x v="0"/>
    <x v="0"/>
    <x v="2"/>
    <x v="19"/>
    <x v="19"/>
    <x v="1"/>
    <x v="1"/>
    <x v="1"/>
    <x v="1"/>
    <x v="5"/>
    <x v="187"/>
    <x v="134"/>
    <x v="175"/>
    <x v="277"/>
    <x v="144"/>
    <x v="232"/>
    <x v="5"/>
    <x v="5"/>
  </r>
  <r>
    <x v="19"/>
    <x v="0"/>
    <x v="0"/>
    <x v="2"/>
    <x v="19"/>
    <x v="19"/>
    <x v="3"/>
    <x v="3"/>
    <x v="3"/>
    <x v="3"/>
    <x v="6"/>
    <x v="211"/>
    <x v="293"/>
    <x v="114"/>
    <x v="206"/>
    <x v="154"/>
    <x v="294"/>
    <x v="5"/>
    <x v="5"/>
  </r>
  <r>
    <x v="19"/>
    <x v="0"/>
    <x v="0"/>
    <x v="2"/>
    <x v="19"/>
    <x v="19"/>
    <x v="9"/>
    <x v="9"/>
    <x v="9"/>
    <x v="9"/>
    <x v="6"/>
    <x v="211"/>
    <x v="293"/>
    <x v="176"/>
    <x v="278"/>
    <x v="90"/>
    <x v="186"/>
    <x v="5"/>
    <x v="5"/>
  </r>
  <r>
    <x v="19"/>
    <x v="0"/>
    <x v="0"/>
    <x v="2"/>
    <x v="19"/>
    <x v="19"/>
    <x v="8"/>
    <x v="8"/>
    <x v="8"/>
    <x v="8"/>
    <x v="8"/>
    <x v="239"/>
    <x v="183"/>
    <x v="44"/>
    <x v="12"/>
    <x v="200"/>
    <x v="295"/>
    <x v="5"/>
    <x v="5"/>
  </r>
  <r>
    <x v="19"/>
    <x v="0"/>
    <x v="0"/>
    <x v="2"/>
    <x v="19"/>
    <x v="19"/>
    <x v="12"/>
    <x v="12"/>
    <x v="12"/>
    <x v="12"/>
    <x v="9"/>
    <x v="168"/>
    <x v="294"/>
    <x v="35"/>
    <x v="279"/>
    <x v="201"/>
    <x v="22"/>
    <x v="5"/>
    <x v="5"/>
  </r>
  <r>
    <x v="19"/>
    <x v="0"/>
    <x v="0"/>
    <x v="2"/>
    <x v="19"/>
    <x v="19"/>
    <x v="19"/>
    <x v="19"/>
    <x v="19"/>
    <x v="19"/>
    <x v="10"/>
    <x v="142"/>
    <x v="295"/>
    <x v="142"/>
    <x v="211"/>
    <x v="143"/>
    <x v="296"/>
    <x v="5"/>
    <x v="5"/>
  </r>
  <r>
    <x v="19"/>
    <x v="0"/>
    <x v="0"/>
    <x v="2"/>
    <x v="19"/>
    <x v="19"/>
    <x v="7"/>
    <x v="7"/>
    <x v="7"/>
    <x v="7"/>
    <x v="11"/>
    <x v="212"/>
    <x v="296"/>
    <x v="177"/>
    <x v="280"/>
    <x v="131"/>
    <x v="223"/>
    <x v="5"/>
    <x v="5"/>
  </r>
  <r>
    <x v="19"/>
    <x v="0"/>
    <x v="0"/>
    <x v="2"/>
    <x v="19"/>
    <x v="19"/>
    <x v="11"/>
    <x v="11"/>
    <x v="11"/>
    <x v="11"/>
    <x v="12"/>
    <x v="178"/>
    <x v="297"/>
    <x v="94"/>
    <x v="191"/>
    <x v="202"/>
    <x v="102"/>
    <x v="5"/>
    <x v="5"/>
  </r>
  <r>
    <x v="19"/>
    <x v="0"/>
    <x v="0"/>
    <x v="2"/>
    <x v="19"/>
    <x v="19"/>
    <x v="10"/>
    <x v="10"/>
    <x v="10"/>
    <x v="10"/>
    <x v="13"/>
    <x v="52"/>
    <x v="298"/>
    <x v="160"/>
    <x v="281"/>
    <x v="78"/>
    <x v="38"/>
    <x v="4"/>
    <x v="20"/>
  </r>
  <r>
    <x v="19"/>
    <x v="0"/>
    <x v="0"/>
    <x v="2"/>
    <x v="19"/>
    <x v="19"/>
    <x v="13"/>
    <x v="13"/>
    <x v="13"/>
    <x v="13"/>
    <x v="14"/>
    <x v="155"/>
    <x v="152"/>
    <x v="124"/>
    <x v="11"/>
    <x v="89"/>
    <x v="288"/>
    <x v="5"/>
    <x v="5"/>
  </r>
  <r>
    <x v="19"/>
    <x v="0"/>
    <x v="0"/>
    <x v="2"/>
    <x v="19"/>
    <x v="19"/>
    <x v="32"/>
    <x v="32"/>
    <x v="32"/>
    <x v="32"/>
    <x v="15"/>
    <x v="88"/>
    <x v="138"/>
    <x v="66"/>
    <x v="45"/>
    <x v="91"/>
    <x v="143"/>
    <x v="5"/>
    <x v="5"/>
  </r>
  <r>
    <x v="19"/>
    <x v="0"/>
    <x v="0"/>
    <x v="2"/>
    <x v="19"/>
    <x v="19"/>
    <x v="16"/>
    <x v="16"/>
    <x v="16"/>
    <x v="16"/>
    <x v="16"/>
    <x v="56"/>
    <x v="33"/>
    <x v="125"/>
    <x v="282"/>
    <x v="90"/>
    <x v="186"/>
    <x v="5"/>
    <x v="5"/>
  </r>
  <r>
    <x v="19"/>
    <x v="0"/>
    <x v="0"/>
    <x v="2"/>
    <x v="19"/>
    <x v="19"/>
    <x v="6"/>
    <x v="6"/>
    <x v="6"/>
    <x v="6"/>
    <x v="17"/>
    <x v="180"/>
    <x v="91"/>
    <x v="95"/>
    <x v="283"/>
    <x v="190"/>
    <x v="122"/>
    <x v="5"/>
    <x v="5"/>
  </r>
  <r>
    <x v="19"/>
    <x v="0"/>
    <x v="0"/>
    <x v="2"/>
    <x v="19"/>
    <x v="19"/>
    <x v="34"/>
    <x v="34"/>
    <x v="34"/>
    <x v="34"/>
    <x v="18"/>
    <x v="219"/>
    <x v="166"/>
    <x v="116"/>
    <x v="146"/>
    <x v="126"/>
    <x v="15"/>
    <x v="5"/>
    <x v="5"/>
  </r>
  <r>
    <x v="19"/>
    <x v="0"/>
    <x v="0"/>
    <x v="2"/>
    <x v="19"/>
    <x v="19"/>
    <x v="14"/>
    <x v="14"/>
    <x v="14"/>
    <x v="14"/>
    <x v="19"/>
    <x v="240"/>
    <x v="274"/>
    <x v="84"/>
    <x v="89"/>
    <x v="91"/>
    <x v="143"/>
    <x v="5"/>
    <x v="5"/>
  </r>
  <r>
    <x v="20"/>
    <x v="0"/>
    <x v="0"/>
    <x v="1"/>
    <x v="20"/>
    <x v="20"/>
    <x v="1"/>
    <x v="1"/>
    <x v="1"/>
    <x v="1"/>
    <x v="0"/>
    <x v="241"/>
    <x v="299"/>
    <x v="178"/>
    <x v="284"/>
    <x v="203"/>
    <x v="21"/>
    <x v="8"/>
    <x v="32"/>
  </r>
  <r>
    <x v="20"/>
    <x v="0"/>
    <x v="0"/>
    <x v="1"/>
    <x v="20"/>
    <x v="20"/>
    <x v="0"/>
    <x v="0"/>
    <x v="0"/>
    <x v="0"/>
    <x v="1"/>
    <x v="242"/>
    <x v="300"/>
    <x v="179"/>
    <x v="285"/>
    <x v="204"/>
    <x v="297"/>
    <x v="8"/>
    <x v="32"/>
  </r>
  <r>
    <x v="20"/>
    <x v="0"/>
    <x v="0"/>
    <x v="1"/>
    <x v="20"/>
    <x v="20"/>
    <x v="2"/>
    <x v="2"/>
    <x v="2"/>
    <x v="2"/>
    <x v="2"/>
    <x v="243"/>
    <x v="301"/>
    <x v="180"/>
    <x v="286"/>
    <x v="205"/>
    <x v="97"/>
    <x v="5"/>
    <x v="5"/>
  </r>
  <r>
    <x v="20"/>
    <x v="0"/>
    <x v="0"/>
    <x v="1"/>
    <x v="20"/>
    <x v="20"/>
    <x v="3"/>
    <x v="3"/>
    <x v="3"/>
    <x v="3"/>
    <x v="3"/>
    <x v="244"/>
    <x v="131"/>
    <x v="181"/>
    <x v="3"/>
    <x v="206"/>
    <x v="298"/>
    <x v="5"/>
    <x v="5"/>
  </r>
  <r>
    <x v="20"/>
    <x v="0"/>
    <x v="0"/>
    <x v="1"/>
    <x v="20"/>
    <x v="20"/>
    <x v="5"/>
    <x v="5"/>
    <x v="5"/>
    <x v="5"/>
    <x v="4"/>
    <x v="245"/>
    <x v="302"/>
    <x v="170"/>
    <x v="287"/>
    <x v="207"/>
    <x v="299"/>
    <x v="5"/>
    <x v="5"/>
  </r>
  <r>
    <x v="20"/>
    <x v="0"/>
    <x v="0"/>
    <x v="1"/>
    <x v="20"/>
    <x v="20"/>
    <x v="4"/>
    <x v="4"/>
    <x v="4"/>
    <x v="4"/>
    <x v="5"/>
    <x v="246"/>
    <x v="303"/>
    <x v="174"/>
    <x v="288"/>
    <x v="208"/>
    <x v="300"/>
    <x v="5"/>
    <x v="5"/>
  </r>
  <r>
    <x v="20"/>
    <x v="0"/>
    <x v="0"/>
    <x v="1"/>
    <x v="20"/>
    <x v="20"/>
    <x v="6"/>
    <x v="6"/>
    <x v="6"/>
    <x v="6"/>
    <x v="6"/>
    <x v="247"/>
    <x v="304"/>
    <x v="182"/>
    <x v="6"/>
    <x v="209"/>
    <x v="271"/>
    <x v="8"/>
    <x v="32"/>
  </r>
  <r>
    <x v="20"/>
    <x v="0"/>
    <x v="0"/>
    <x v="1"/>
    <x v="20"/>
    <x v="20"/>
    <x v="8"/>
    <x v="8"/>
    <x v="8"/>
    <x v="8"/>
    <x v="7"/>
    <x v="248"/>
    <x v="305"/>
    <x v="123"/>
    <x v="289"/>
    <x v="210"/>
    <x v="301"/>
    <x v="5"/>
    <x v="5"/>
  </r>
  <r>
    <x v="20"/>
    <x v="0"/>
    <x v="0"/>
    <x v="1"/>
    <x v="20"/>
    <x v="20"/>
    <x v="7"/>
    <x v="7"/>
    <x v="7"/>
    <x v="7"/>
    <x v="8"/>
    <x v="249"/>
    <x v="29"/>
    <x v="183"/>
    <x v="290"/>
    <x v="211"/>
    <x v="302"/>
    <x v="5"/>
    <x v="5"/>
  </r>
  <r>
    <x v="20"/>
    <x v="0"/>
    <x v="0"/>
    <x v="1"/>
    <x v="20"/>
    <x v="20"/>
    <x v="9"/>
    <x v="9"/>
    <x v="9"/>
    <x v="9"/>
    <x v="9"/>
    <x v="250"/>
    <x v="296"/>
    <x v="184"/>
    <x v="176"/>
    <x v="212"/>
    <x v="18"/>
    <x v="2"/>
    <x v="33"/>
  </r>
  <r>
    <x v="20"/>
    <x v="0"/>
    <x v="0"/>
    <x v="1"/>
    <x v="20"/>
    <x v="20"/>
    <x v="10"/>
    <x v="10"/>
    <x v="10"/>
    <x v="10"/>
    <x v="10"/>
    <x v="251"/>
    <x v="203"/>
    <x v="185"/>
    <x v="283"/>
    <x v="213"/>
    <x v="176"/>
    <x v="8"/>
    <x v="32"/>
  </r>
  <r>
    <x v="20"/>
    <x v="0"/>
    <x v="0"/>
    <x v="1"/>
    <x v="20"/>
    <x v="20"/>
    <x v="11"/>
    <x v="11"/>
    <x v="11"/>
    <x v="11"/>
    <x v="11"/>
    <x v="252"/>
    <x v="138"/>
    <x v="90"/>
    <x v="291"/>
    <x v="214"/>
    <x v="303"/>
    <x v="5"/>
    <x v="5"/>
  </r>
  <r>
    <x v="20"/>
    <x v="0"/>
    <x v="0"/>
    <x v="1"/>
    <x v="20"/>
    <x v="20"/>
    <x v="14"/>
    <x v="14"/>
    <x v="14"/>
    <x v="14"/>
    <x v="12"/>
    <x v="253"/>
    <x v="104"/>
    <x v="92"/>
    <x v="292"/>
    <x v="215"/>
    <x v="14"/>
    <x v="5"/>
    <x v="5"/>
  </r>
  <r>
    <x v="20"/>
    <x v="0"/>
    <x v="0"/>
    <x v="1"/>
    <x v="20"/>
    <x v="20"/>
    <x v="13"/>
    <x v="13"/>
    <x v="13"/>
    <x v="13"/>
    <x v="13"/>
    <x v="183"/>
    <x v="306"/>
    <x v="186"/>
    <x v="165"/>
    <x v="216"/>
    <x v="304"/>
    <x v="5"/>
    <x v="5"/>
  </r>
  <r>
    <x v="20"/>
    <x v="0"/>
    <x v="0"/>
    <x v="1"/>
    <x v="20"/>
    <x v="20"/>
    <x v="15"/>
    <x v="15"/>
    <x v="15"/>
    <x v="15"/>
    <x v="14"/>
    <x v="254"/>
    <x v="105"/>
    <x v="187"/>
    <x v="293"/>
    <x v="217"/>
    <x v="305"/>
    <x v="5"/>
    <x v="5"/>
  </r>
  <r>
    <x v="20"/>
    <x v="0"/>
    <x v="0"/>
    <x v="1"/>
    <x v="20"/>
    <x v="20"/>
    <x v="12"/>
    <x v="12"/>
    <x v="12"/>
    <x v="12"/>
    <x v="15"/>
    <x v="255"/>
    <x v="307"/>
    <x v="61"/>
    <x v="191"/>
    <x v="218"/>
    <x v="128"/>
    <x v="5"/>
    <x v="5"/>
  </r>
  <r>
    <x v="20"/>
    <x v="0"/>
    <x v="0"/>
    <x v="1"/>
    <x v="20"/>
    <x v="20"/>
    <x v="19"/>
    <x v="19"/>
    <x v="19"/>
    <x v="19"/>
    <x v="16"/>
    <x v="61"/>
    <x v="73"/>
    <x v="52"/>
    <x v="175"/>
    <x v="219"/>
    <x v="30"/>
    <x v="5"/>
    <x v="5"/>
  </r>
  <r>
    <x v="20"/>
    <x v="0"/>
    <x v="0"/>
    <x v="1"/>
    <x v="20"/>
    <x v="20"/>
    <x v="23"/>
    <x v="23"/>
    <x v="23"/>
    <x v="23"/>
    <x v="17"/>
    <x v="256"/>
    <x v="76"/>
    <x v="97"/>
    <x v="294"/>
    <x v="81"/>
    <x v="306"/>
    <x v="4"/>
    <x v="16"/>
  </r>
  <r>
    <x v="20"/>
    <x v="0"/>
    <x v="0"/>
    <x v="1"/>
    <x v="20"/>
    <x v="20"/>
    <x v="18"/>
    <x v="18"/>
    <x v="18"/>
    <x v="18"/>
    <x v="17"/>
    <x v="256"/>
    <x v="76"/>
    <x v="44"/>
    <x v="295"/>
    <x v="220"/>
    <x v="307"/>
    <x v="4"/>
    <x v="16"/>
  </r>
  <r>
    <x v="20"/>
    <x v="0"/>
    <x v="0"/>
    <x v="1"/>
    <x v="20"/>
    <x v="20"/>
    <x v="17"/>
    <x v="17"/>
    <x v="17"/>
    <x v="17"/>
    <x v="19"/>
    <x v="257"/>
    <x v="308"/>
    <x v="68"/>
    <x v="200"/>
    <x v="63"/>
    <x v="258"/>
    <x v="8"/>
    <x v="32"/>
  </r>
  <r>
    <x v="21"/>
    <x v="0"/>
    <x v="0"/>
    <x v="2"/>
    <x v="21"/>
    <x v="21"/>
    <x v="1"/>
    <x v="1"/>
    <x v="1"/>
    <x v="1"/>
    <x v="0"/>
    <x v="258"/>
    <x v="309"/>
    <x v="188"/>
    <x v="296"/>
    <x v="200"/>
    <x v="308"/>
    <x v="5"/>
    <x v="5"/>
  </r>
  <r>
    <x v="21"/>
    <x v="0"/>
    <x v="0"/>
    <x v="2"/>
    <x v="21"/>
    <x v="21"/>
    <x v="0"/>
    <x v="0"/>
    <x v="0"/>
    <x v="0"/>
    <x v="1"/>
    <x v="259"/>
    <x v="310"/>
    <x v="189"/>
    <x v="297"/>
    <x v="221"/>
    <x v="309"/>
    <x v="8"/>
    <x v="24"/>
  </r>
  <r>
    <x v="21"/>
    <x v="0"/>
    <x v="0"/>
    <x v="2"/>
    <x v="21"/>
    <x v="21"/>
    <x v="2"/>
    <x v="2"/>
    <x v="2"/>
    <x v="2"/>
    <x v="2"/>
    <x v="260"/>
    <x v="311"/>
    <x v="190"/>
    <x v="298"/>
    <x v="178"/>
    <x v="127"/>
    <x v="5"/>
    <x v="5"/>
  </r>
  <r>
    <x v="21"/>
    <x v="0"/>
    <x v="0"/>
    <x v="2"/>
    <x v="21"/>
    <x v="21"/>
    <x v="8"/>
    <x v="8"/>
    <x v="8"/>
    <x v="8"/>
    <x v="3"/>
    <x v="261"/>
    <x v="147"/>
    <x v="93"/>
    <x v="153"/>
    <x v="97"/>
    <x v="310"/>
    <x v="5"/>
    <x v="5"/>
  </r>
  <r>
    <x v="21"/>
    <x v="0"/>
    <x v="0"/>
    <x v="2"/>
    <x v="21"/>
    <x v="21"/>
    <x v="3"/>
    <x v="3"/>
    <x v="3"/>
    <x v="3"/>
    <x v="4"/>
    <x v="79"/>
    <x v="312"/>
    <x v="191"/>
    <x v="299"/>
    <x v="222"/>
    <x v="311"/>
    <x v="5"/>
    <x v="5"/>
  </r>
  <r>
    <x v="21"/>
    <x v="0"/>
    <x v="0"/>
    <x v="2"/>
    <x v="21"/>
    <x v="21"/>
    <x v="6"/>
    <x v="6"/>
    <x v="6"/>
    <x v="6"/>
    <x v="5"/>
    <x v="262"/>
    <x v="269"/>
    <x v="192"/>
    <x v="300"/>
    <x v="223"/>
    <x v="312"/>
    <x v="5"/>
    <x v="5"/>
  </r>
  <r>
    <x v="21"/>
    <x v="0"/>
    <x v="0"/>
    <x v="2"/>
    <x v="21"/>
    <x v="21"/>
    <x v="5"/>
    <x v="5"/>
    <x v="5"/>
    <x v="5"/>
    <x v="6"/>
    <x v="263"/>
    <x v="313"/>
    <x v="50"/>
    <x v="223"/>
    <x v="224"/>
    <x v="313"/>
    <x v="5"/>
    <x v="5"/>
  </r>
  <r>
    <x v="21"/>
    <x v="0"/>
    <x v="0"/>
    <x v="2"/>
    <x v="21"/>
    <x v="21"/>
    <x v="4"/>
    <x v="4"/>
    <x v="4"/>
    <x v="4"/>
    <x v="7"/>
    <x v="264"/>
    <x v="314"/>
    <x v="143"/>
    <x v="301"/>
    <x v="225"/>
    <x v="314"/>
    <x v="5"/>
    <x v="5"/>
  </r>
  <r>
    <x v="21"/>
    <x v="0"/>
    <x v="0"/>
    <x v="2"/>
    <x v="21"/>
    <x v="21"/>
    <x v="11"/>
    <x v="11"/>
    <x v="11"/>
    <x v="11"/>
    <x v="8"/>
    <x v="265"/>
    <x v="165"/>
    <x v="161"/>
    <x v="144"/>
    <x v="86"/>
    <x v="65"/>
    <x v="5"/>
    <x v="5"/>
  </r>
  <r>
    <x v="21"/>
    <x v="0"/>
    <x v="0"/>
    <x v="2"/>
    <x v="21"/>
    <x v="21"/>
    <x v="7"/>
    <x v="7"/>
    <x v="7"/>
    <x v="7"/>
    <x v="9"/>
    <x v="266"/>
    <x v="202"/>
    <x v="101"/>
    <x v="302"/>
    <x v="114"/>
    <x v="315"/>
    <x v="5"/>
    <x v="5"/>
  </r>
  <r>
    <x v="21"/>
    <x v="0"/>
    <x v="0"/>
    <x v="2"/>
    <x v="21"/>
    <x v="21"/>
    <x v="15"/>
    <x v="15"/>
    <x v="15"/>
    <x v="15"/>
    <x v="10"/>
    <x v="169"/>
    <x v="315"/>
    <x v="53"/>
    <x v="303"/>
    <x v="84"/>
    <x v="91"/>
    <x v="5"/>
    <x v="5"/>
  </r>
  <r>
    <x v="21"/>
    <x v="0"/>
    <x v="0"/>
    <x v="2"/>
    <x v="21"/>
    <x v="21"/>
    <x v="10"/>
    <x v="10"/>
    <x v="10"/>
    <x v="10"/>
    <x v="11"/>
    <x v="267"/>
    <x v="316"/>
    <x v="67"/>
    <x v="270"/>
    <x v="93"/>
    <x v="316"/>
    <x v="5"/>
    <x v="5"/>
  </r>
  <r>
    <x v="21"/>
    <x v="0"/>
    <x v="0"/>
    <x v="2"/>
    <x v="21"/>
    <x v="21"/>
    <x v="14"/>
    <x v="14"/>
    <x v="14"/>
    <x v="14"/>
    <x v="12"/>
    <x v="268"/>
    <x v="166"/>
    <x v="83"/>
    <x v="304"/>
    <x v="226"/>
    <x v="75"/>
    <x v="5"/>
    <x v="5"/>
  </r>
  <r>
    <x v="21"/>
    <x v="0"/>
    <x v="0"/>
    <x v="2"/>
    <x v="21"/>
    <x v="21"/>
    <x v="13"/>
    <x v="13"/>
    <x v="13"/>
    <x v="13"/>
    <x v="13"/>
    <x v="269"/>
    <x v="189"/>
    <x v="108"/>
    <x v="305"/>
    <x v="227"/>
    <x v="142"/>
    <x v="5"/>
    <x v="5"/>
  </r>
  <r>
    <x v="21"/>
    <x v="0"/>
    <x v="0"/>
    <x v="2"/>
    <x v="21"/>
    <x v="21"/>
    <x v="9"/>
    <x v="9"/>
    <x v="9"/>
    <x v="9"/>
    <x v="13"/>
    <x v="269"/>
    <x v="189"/>
    <x v="163"/>
    <x v="306"/>
    <x v="132"/>
    <x v="53"/>
    <x v="5"/>
    <x v="5"/>
  </r>
  <r>
    <x v="21"/>
    <x v="0"/>
    <x v="0"/>
    <x v="2"/>
    <x v="21"/>
    <x v="21"/>
    <x v="18"/>
    <x v="18"/>
    <x v="18"/>
    <x v="18"/>
    <x v="13"/>
    <x v="269"/>
    <x v="189"/>
    <x v="57"/>
    <x v="71"/>
    <x v="192"/>
    <x v="317"/>
    <x v="8"/>
    <x v="24"/>
  </r>
  <r>
    <x v="21"/>
    <x v="0"/>
    <x v="0"/>
    <x v="2"/>
    <x v="21"/>
    <x v="21"/>
    <x v="21"/>
    <x v="21"/>
    <x v="21"/>
    <x v="21"/>
    <x v="16"/>
    <x v="179"/>
    <x v="190"/>
    <x v="63"/>
    <x v="307"/>
    <x v="160"/>
    <x v="318"/>
    <x v="5"/>
    <x v="5"/>
  </r>
  <r>
    <x v="21"/>
    <x v="0"/>
    <x v="0"/>
    <x v="2"/>
    <x v="21"/>
    <x v="21"/>
    <x v="12"/>
    <x v="12"/>
    <x v="12"/>
    <x v="12"/>
    <x v="16"/>
    <x v="179"/>
    <x v="190"/>
    <x v="95"/>
    <x v="248"/>
    <x v="144"/>
    <x v="177"/>
    <x v="5"/>
    <x v="5"/>
  </r>
  <r>
    <x v="21"/>
    <x v="0"/>
    <x v="0"/>
    <x v="2"/>
    <x v="21"/>
    <x v="21"/>
    <x v="19"/>
    <x v="19"/>
    <x v="19"/>
    <x v="19"/>
    <x v="18"/>
    <x v="89"/>
    <x v="287"/>
    <x v="82"/>
    <x v="226"/>
    <x v="76"/>
    <x v="232"/>
    <x v="5"/>
    <x v="5"/>
  </r>
  <r>
    <x v="21"/>
    <x v="0"/>
    <x v="0"/>
    <x v="2"/>
    <x v="21"/>
    <x v="21"/>
    <x v="23"/>
    <x v="23"/>
    <x v="23"/>
    <x v="23"/>
    <x v="19"/>
    <x v="180"/>
    <x v="154"/>
    <x v="56"/>
    <x v="103"/>
    <x v="106"/>
    <x v="130"/>
    <x v="8"/>
    <x v="24"/>
  </r>
  <r>
    <x v="22"/>
    <x v="0"/>
    <x v="0"/>
    <x v="2"/>
    <x v="22"/>
    <x v="22"/>
    <x v="1"/>
    <x v="1"/>
    <x v="1"/>
    <x v="1"/>
    <x v="0"/>
    <x v="171"/>
    <x v="317"/>
    <x v="193"/>
    <x v="308"/>
    <x v="59"/>
    <x v="319"/>
    <x v="5"/>
    <x v="5"/>
  </r>
  <r>
    <x v="22"/>
    <x v="0"/>
    <x v="0"/>
    <x v="2"/>
    <x v="22"/>
    <x v="22"/>
    <x v="2"/>
    <x v="2"/>
    <x v="2"/>
    <x v="2"/>
    <x v="1"/>
    <x v="270"/>
    <x v="318"/>
    <x v="194"/>
    <x v="309"/>
    <x v="99"/>
    <x v="320"/>
    <x v="5"/>
    <x v="5"/>
  </r>
  <r>
    <x v="22"/>
    <x v="0"/>
    <x v="0"/>
    <x v="2"/>
    <x v="22"/>
    <x v="22"/>
    <x v="0"/>
    <x v="0"/>
    <x v="0"/>
    <x v="0"/>
    <x v="2"/>
    <x v="271"/>
    <x v="319"/>
    <x v="77"/>
    <x v="310"/>
    <x v="228"/>
    <x v="321"/>
    <x v="5"/>
    <x v="5"/>
  </r>
  <r>
    <x v="22"/>
    <x v="0"/>
    <x v="0"/>
    <x v="2"/>
    <x v="22"/>
    <x v="22"/>
    <x v="3"/>
    <x v="3"/>
    <x v="3"/>
    <x v="3"/>
    <x v="3"/>
    <x v="128"/>
    <x v="320"/>
    <x v="113"/>
    <x v="158"/>
    <x v="127"/>
    <x v="322"/>
    <x v="5"/>
    <x v="5"/>
  </r>
  <r>
    <x v="22"/>
    <x v="0"/>
    <x v="0"/>
    <x v="2"/>
    <x v="22"/>
    <x v="22"/>
    <x v="5"/>
    <x v="5"/>
    <x v="5"/>
    <x v="5"/>
    <x v="4"/>
    <x v="266"/>
    <x v="115"/>
    <x v="106"/>
    <x v="311"/>
    <x v="201"/>
    <x v="323"/>
    <x v="5"/>
    <x v="5"/>
  </r>
  <r>
    <x v="22"/>
    <x v="0"/>
    <x v="0"/>
    <x v="2"/>
    <x v="22"/>
    <x v="22"/>
    <x v="6"/>
    <x v="6"/>
    <x v="6"/>
    <x v="6"/>
    <x v="4"/>
    <x v="266"/>
    <x v="115"/>
    <x v="122"/>
    <x v="312"/>
    <x v="106"/>
    <x v="324"/>
    <x v="5"/>
    <x v="5"/>
  </r>
  <r>
    <x v="22"/>
    <x v="0"/>
    <x v="0"/>
    <x v="2"/>
    <x v="22"/>
    <x v="22"/>
    <x v="8"/>
    <x v="8"/>
    <x v="8"/>
    <x v="8"/>
    <x v="6"/>
    <x v="267"/>
    <x v="134"/>
    <x v="83"/>
    <x v="313"/>
    <x v="229"/>
    <x v="325"/>
    <x v="5"/>
    <x v="5"/>
  </r>
  <r>
    <x v="22"/>
    <x v="0"/>
    <x v="0"/>
    <x v="2"/>
    <x v="22"/>
    <x v="22"/>
    <x v="4"/>
    <x v="4"/>
    <x v="4"/>
    <x v="4"/>
    <x v="7"/>
    <x v="84"/>
    <x v="321"/>
    <x v="75"/>
    <x v="265"/>
    <x v="195"/>
    <x v="326"/>
    <x v="5"/>
    <x v="5"/>
  </r>
  <r>
    <x v="22"/>
    <x v="0"/>
    <x v="0"/>
    <x v="2"/>
    <x v="22"/>
    <x v="22"/>
    <x v="7"/>
    <x v="7"/>
    <x v="7"/>
    <x v="7"/>
    <x v="8"/>
    <x v="272"/>
    <x v="136"/>
    <x v="113"/>
    <x v="158"/>
    <x v="135"/>
    <x v="53"/>
    <x v="5"/>
    <x v="5"/>
  </r>
  <r>
    <x v="22"/>
    <x v="0"/>
    <x v="0"/>
    <x v="2"/>
    <x v="22"/>
    <x v="22"/>
    <x v="9"/>
    <x v="9"/>
    <x v="9"/>
    <x v="9"/>
    <x v="9"/>
    <x v="132"/>
    <x v="88"/>
    <x v="51"/>
    <x v="314"/>
    <x v="140"/>
    <x v="19"/>
    <x v="5"/>
    <x v="5"/>
  </r>
  <r>
    <x v="22"/>
    <x v="0"/>
    <x v="0"/>
    <x v="2"/>
    <x v="22"/>
    <x v="22"/>
    <x v="11"/>
    <x v="11"/>
    <x v="11"/>
    <x v="11"/>
    <x v="10"/>
    <x v="144"/>
    <x v="322"/>
    <x v="72"/>
    <x v="315"/>
    <x v="181"/>
    <x v="34"/>
    <x v="5"/>
    <x v="5"/>
  </r>
  <r>
    <x v="22"/>
    <x v="0"/>
    <x v="0"/>
    <x v="2"/>
    <x v="22"/>
    <x v="22"/>
    <x v="14"/>
    <x v="14"/>
    <x v="14"/>
    <x v="14"/>
    <x v="11"/>
    <x v="76"/>
    <x v="122"/>
    <x v="54"/>
    <x v="316"/>
    <x v="92"/>
    <x v="327"/>
    <x v="5"/>
    <x v="5"/>
  </r>
  <r>
    <x v="22"/>
    <x v="0"/>
    <x v="0"/>
    <x v="2"/>
    <x v="22"/>
    <x v="22"/>
    <x v="30"/>
    <x v="30"/>
    <x v="30"/>
    <x v="30"/>
    <x v="12"/>
    <x v="90"/>
    <x v="323"/>
    <x v="195"/>
    <x v="176"/>
    <x v="230"/>
    <x v="328"/>
    <x v="5"/>
    <x v="5"/>
  </r>
  <r>
    <x v="22"/>
    <x v="0"/>
    <x v="0"/>
    <x v="2"/>
    <x v="22"/>
    <x v="22"/>
    <x v="15"/>
    <x v="15"/>
    <x v="15"/>
    <x v="15"/>
    <x v="13"/>
    <x v="77"/>
    <x v="306"/>
    <x v="57"/>
    <x v="15"/>
    <x v="88"/>
    <x v="329"/>
    <x v="5"/>
    <x v="5"/>
  </r>
  <r>
    <x v="22"/>
    <x v="0"/>
    <x v="0"/>
    <x v="2"/>
    <x v="22"/>
    <x v="22"/>
    <x v="19"/>
    <x v="19"/>
    <x v="19"/>
    <x v="19"/>
    <x v="14"/>
    <x v="58"/>
    <x v="14"/>
    <x v="57"/>
    <x v="15"/>
    <x v="59"/>
    <x v="319"/>
    <x v="5"/>
    <x v="5"/>
  </r>
  <r>
    <x v="22"/>
    <x v="0"/>
    <x v="0"/>
    <x v="2"/>
    <x v="22"/>
    <x v="22"/>
    <x v="12"/>
    <x v="12"/>
    <x v="12"/>
    <x v="12"/>
    <x v="15"/>
    <x v="134"/>
    <x v="35"/>
    <x v="49"/>
    <x v="79"/>
    <x v="93"/>
    <x v="9"/>
    <x v="5"/>
    <x v="5"/>
  </r>
  <r>
    <x v="22"/>
    <x v="0"/>
    <x v="0"/>
    <x v="2"/>
    <x v="22"/>
    <x v="22"/>
    <x v="10"/>
    <x v="10"/>
    <x v="10"/>
    <x v="10"/>
    <x v="15"/>
    <x v="134"/>
    <x v="35"/>
    <x v="95"/>
    <x v="232"/>
    <x v="139"/>
    <x v="330"/>
    <x v="5"/>
    <x v="5"/>
  </r>
  <r>
    <x v="22"/>
    <x v="0"/>
    <x v="0"/>
    <x v="2"/>
    <x v="22"/>
    <x v="22"/>
    <x v="13"/>
    <x v="13"/>
    <x v="13"/>
    <x v="13"/>
    <x v="17"/>
    <x v="157"/>
    <x v="324"/>
    <x v="93"/>
    <x v="317"/>
    <x v="132"/>
    <x v="331"/>
    <x v="5"/>
    <x v="5"/>
  </r>
  <r>
    <x v="22"/>
    <x v="0"/>
    <x v="0"/>
    <x v="2"/>
    <x v="22"/>
    <x v="22"/>
    <x v="18"/>
    <x v="18"/>
    <x v="18"/>
    <x v="18"/>
    <x v="18"/>
    <x v="273"/>
    <x v="325"/>
    <x v="125"/>
    <x v="16"/>
    <x v="137"/>
    <x v="332"/>
    <x v="5"/>
    <x v="5"/>
  </r>
  <r>
    <x v="22"/>
    <x v="0"/>
    <x v="0"/>
    <x v="2"/>
    <x v="22"/>
    <x v="22"/>
    <x v="21"/>
    <x v="21"/>
    <x v="21"/>
    <x v="21"/>
    <x v="19"/>
    <x v="137"/>
    <x v="208"/>
    <x v="116"/>
    <x v="318"/>
    <x v="87"/>
    <x v="333"/>
    <x v="5"/>
    <x v="5"/>
  </r>
  <r>
    <x v="22"/>
    <x v="0"/>
    <x v="0"/>
    <x v="2"/>
    <x v="22"/>
    <x v="22"/>
    <x v="31"/>
    <x v="31"/>
    <x v="31"/>
    <x v="31"/>
    <x v="19"/>
    <x v="137"/>
    <x v="208"/>
    <x v="53"/>
    <x v="319"/>
    <x v="231"/>
    <x v="334"/>
    <x v="5"/>
    <x v="5"/>
  </r>
  <r>
    <x v="23"/>
    <x v="0"/>
    <x v="0"/>
    <x v="2"/>
    <x v="23"/>
    <x v="23"/>
    <x v="1"/>
    <x v="1"/>
    <x v="1"/>
    <x v="1"/>
    <x v="0"/>
    <x v="274"/>
    <x v="326"/>
    <x v="196"/>
    <x v="320"/>
    <x v="169"/>
    <x v="335"/>
    <x v="5"/>
    <x v="5"/>
  </r>
  <r>
    <x v="23"/>
    <x v="0"/>
    <x v="0"/>
    <x v="2"/>
    <x v="23"/>
    <x v="23"/>
    <x v="2"/>
    <x v="2"/>
    <x v="2"/>
    <x v="2"/>
    <x v="1"/>
    <x v="275"/>
    <x v="327"/>
    <x v="197"/>
    <x v="321"/>
    <x v="85"/>
    <x v="79"/>
    <x v="5"/>
    <x v="5"/>
  </r>
  <r>
    <x v="23"/>
    <x v="0"/>
    <x v="0"/>
    <x v="2"/>
    <x v="23"/>
    <x v="23"/>
    <x v="0"/>
    <x v="0"/>
    <x v="0"/>
    <x v="0"/>
    <x v="2"/>
    <x v="276"/>
    <x v="328"/>
    <x v="198"/>
    <x v="322"/>
    <x v="232"/>
    <x v="336"/>
    <x v="5"/>
    <x v="5"/>
  </r>
  <r>
    <x v="23"/>
    <x v="0"/>
    <x v="0"/>
    <x v="2"/>
    <x v="23"/>
    <x v="23"/>
    <x v="3"/>
    <x v="3"/>
    <x v="3"/>
    <x v="3"/>
    <x v="3"/>
    <x v="46"/>
    <x v="329"/>
    <x v="104"/>
    <x v="245"/>
    <x v="233"/>
    <x v="243"/>
    <x v="5"/>
    <x v="5"/>
  </r>
  <r>
    <x v="23"/>
    <x v="0"/>
    <x v="0"/>
    <x v="2"/>
    <x v="23"/>
    <x v="23"/>
    <x v="7"/>
    <x v="7"/>
    <x v="7"/>
    <x v="7"/>
    <x v="4"/>
    <x v="226"/>
    <x v="330"/>
    <x v="199"/>
    <x v="323"/>
    <x v="132"/>
    <x v="337"/>
    <x v="5"/>
    <x v="5"/>
  </r>
  <r>
    <x v="23"/>
    <x v="0"/>
    <x v="0"/>
    <x v="2"/>
    <x v="23"/>
    <x v="23"/>
    <x v="6"/>
    <x v="6"/>
    <x v="6"/>
    <x v="6"/>
    <x v="5"/>
    <x v="277"/>
    <x v="331"/>
    <x v="64"/>
    <x v="324"/>
    <x v="62"/>
    <x v="338"/>
    <x v="5"/>
    <x v="5"/>
  </r>
  <r>
    <x v="23"/>
    <x v="0"/>
    <x v="0"/>
    <x v="2"/>
    <x v="23"/>
    <x v="23"/>
    <x v="4"/>
    <x v="4"/>
    <x v="4"/>
    <x v="4"/>
    <x v="6"/>
    <x v="103"/>
    <x v="332"/>
    <x v="108"/>
    <x v="325"/>
    <x v="107"/>
    <x v="339"/>
    <x v="5"/>
    <x v="5"/>
  </r>
  <r>
    <x v="23"/>
    <x v="0"/>
    <x v="0"/>
    <x v="2"/>
    <x v="23"/>
    <x v="23"/>
    <x v="9"/>
    <x v="9"/>
    <x v="9"/>
    <x v="9"/>
    <x v="7"/>
    <x v="141"/>
    <x v="333"/>
    <x v="177"/>
    <x v="326"/>
    <x v="73"/>
    <x v="176"/>
    <x v="5"/>
    <x v="5"/>
  </r>
  <r>
    <x v="23"/>
    <x v="0"/>
    <x v="0"/>
    <x v="2"/>
    <x v="23"/>
    <x v="23"/>
    <x v="14"/>
    <x v="14"/>
    <x v="14"/>
    <x v="14"/>
    <x v="8"/>
    <x v="267"/>
    <x v="334"/>
    <x v="55"/>
    <x v="327"/>
    <x v="155"/>
    <x v="340"/>
    <x v="5"/>
    <x v="5"/>
  </r>
  <r>
    <x v="23"/>
    <x v="0"/>
    <x v="0"/>
    <x v="2"/>
    <x v="23"/>
    <x v="23"/>
    <x v="11"/>
    <x v="11"/>
    <x v="11"/>
    <x v="11"/>
    <x v="9"/>
    <x v="153"/>
    <x v="335"/>
    <x v="200"/>
    <x v="328"/>
    <x v="227"/>
    <x v="329"/>
    <x v="5"/>
    <x v="5"/>
  </r>
  <r>
    <x v="23"/>
    <x v="0"/>
    <x v="0"/>
    <x v="2"/>
    <x v="23"/>
    <x v="23"/>
    <x v="5"/>
    <x v="5"/>
    <x v="5"/>
    <x v="5"/>
    <x v="10"/>
    <x v="143"/>
    <x v="297"/>
    <x v="66"/>
    <x v="265"/>
    <x v="83"/>
    <x v="341"/>
    <x v="5"/>
    <x v="5"/>
  </r>
  <r>
    <x v="23"/>
    <x v="0"/>
    <x v="0"/>
    <x v="2"/>
    <x v="23"/>
    <x v="23"/>
    <x v="8"/>
    <x v="8"/>
    <x v="8"/>
    <x v="8"/>
    <x v="11"/>
    <x v="278"/>
    <x v="336"/>
    <x v="57"/>
    <x v="19"/>
    <x v="195"/>
    <x v="342"/>
    <x v="5"/>
    <x v="5"/>
  </r>
  <r>
    <x v="23"/>
    <x v="0"/>
    <x v="0"/>
    <x v="2"/>
    <x v="23"/>
    <x v="23"/>
    <x v="10"/>
    <x v="10"/>
    <x v="10"/>
    <x v="10"/>
    <x v="12"/>
    <x v="117"/>
    <x v="337"/>
    <x v="163"/>
    <x v="329"/>
    <x v="140"/>
    <x v="343"/>
    <x v="5"/>
    <x v="5"/>
  </r>
  <r>
    <x v="23"/>
    <x v="0"/>
    <x v="0"/>
    <x v="2"/>
    <x v="23"/>
    <x v="23"/>
    <x v="15"/>
    <x v="15"/>
    <x v="15"/>
    <x v="15"/>
    <x v="13"/>
    <x v="118"/>
    <x v="338"/>
    <x v="142"/>
    <x v="330"/>
    <x v="170"/>
    <x v="344"/>
    <x v="5"/>
    <x v="5"/>
  </r>
  <r>
    <x v="23"/>
    <x v="0"/>
    <x v="0"/>
    <x v="2"/>
    <x v="23"/>
    <x v="23"/>
    <x v="12"/>
    <x v="12"/>
    <x v="12"/>
    <x v="12"/>
    <x v="14"/>
    <x v="107"/>
    <x v="339"/>
    <x v="159"/>
    <x v="331"/>
    <x v="88"/>
    <x v="345"/>
    <x v="5"/>
    <x v="5"/>
  </r>
  <r>
    <x v="23"/>
    <x v="0"/>
    <x v="0"/>
    <x v="2"/>
    <x v="23"/>
    <x v="23"/>
    <x v="13"/>
    <x v="13"/>
    <x v="13"/>
    <x v="13"/>
    <x v="15"/>
    <x v="131"/>
    <x v="105"/>
    <x v="53"/>
    <x v="332"/>
    <x v="144"/>
    <x v="317"/>
    <x v="5"/>
    <x v="5"/>
  </r>
  <r>
    <x v="23"/>
    <x v="0"/>
    <x v="0"/>
    <x v="2"/>
    <x v="23"/>
    <x v="23"/>
    <x v="19"/>
    <x v="19"/>
    <x v="19"/>
    <x v="19"/>
    <x v="16"/>
    <x v="120"/>
    <x v="106"/>
    <x v="94"/>
    <x v="333"/>
    <x v="52"/>
    <x v="187"/>
    <x v="5"/>
    <x v="5"/>
  </r>
  <r>
    <x v="23"/>
    <x v="0"/>
    <x v="0"/>
    <x v="2"/>
    <x v="23"/>
    <x v="23"/>
    <x v="17"/>
    <x v="17"/>
    <x v="17"/>
    <x v="17"/>
    <x v="17"/>
    <x v="157"/>
    <x v="18"/>
    <x v="55"/>
    <x v="327"/>
    <x v="54"/>
    <x v="270"/>
    <x v="5"/>
    <x v="5"/>
  </r>
  <r>
    <x v="23"/>
    <x v="0"/>
    <x v="0"/>
    <x v="2"/>
    <x v="23"/>
    <x v="23"/>
    <x v="16"/>
    <x v="16"/>
    <x v="16"/>
    <x v="16"/>
    <x v="18"/>
    <x v="145"/>
    <x v="58"/>
    <x v="56"/>
    <x v="334"/>
    <x v="73"/>
    <x v="176"/>
    <x v="5"/>
    <x v="5"/>
  </r>
  <r>
    <x v="23"/>
    <x v="0"/>
    <x v="0"/>
    <x v="2"/>
    <x v="23"/>
    <x v="23"/>
    <x v="23"/>
    <x v="23"/>
    <x v="23"/>
    <x v="23"/>
    <x v="19"/>
    <x v="123"/>
    <x v="340"/>
    <x v="79"/>
    <x v="335"/>
    <x v="138"/>
    <x v="141"/>
    <x v="5"/>
    <x v="5"/>
  </r>
  <r>
    <x v="24"/>
    <x v="0"/>
    <x v="0"/>
    <x v="2"/>
    <x v="24"/>
    <x v="24"/>
    <x v="0"/>
    <x v="0"/>
    <x v="0"/>
    <x v="0"/>
    <x v="0"/>
    <x v="279"/>
    <x v="341"/>
    <x v="201"/>
    <x v="336"/>
    <x v="81"/>
    <x v="346"/>
    <x v="5"/>
    <x v="5"/>
  </r>
  <r>
    <x v="24"/>
    <x v="0"/>
    <x v="0"/>
    <x v="2"/>
    <x v="24"/>
    <x v="24"/>
    <x v="1"/>
    <x v="1"/>
    <x v="1"/>
    <x v="1"/>
    <x v="1"/>
    <x v="280"/>
    <x v="342"/>
    <x v="109"/>
    <x v="337"/>
    <x v="58"/>
    <x v="347"/>
    <x v="5"/>
    <x v="5"/>
  </r>
  <r>
    <x v="24"/>
    <x v="0"/>
    <x v="0"/>
    <x v="2"/>
    <x v="24"/>
    <x v="24"/>
    <x v="2"/>
    <x v="2"/>
    <x v="2"/>
    <x v="2"/>
    <x v="2"/>
    <x v="281"/>
    <x v="343"/>
    <x v="90"/>
    <x v="338"/>
    <x v="127"/>
    <x v="348"/>
    <x v="5"/>
    <x v="5"/>
  </r>
  <r>
    <x v="24"/>
    <x v="0"/>
    <x v="0"/>
    <x v="2"/>
    <x v="24"/>
    <x v="24"/>
    <x v="5"/>
    <x v="5"/>
    <x v="5"/>
    <x v="5"/>
    <x v="3"/>
    <x v="201"/>
    <x v="344"/>
    <x v="50"/>
    <x v="339"/>
    <x v="128"/>
    <x v="63"/>
    <x v="5"/>
    <x v="5"/>
  </r>
  <r>
    <x v="24"/>
    <x v="0"/>
    <x v="0"/>
    <x v="2"/>
    <x v="24"/>
    <x v="24"/>
    <x v="3"/>
    <x v="3"/>
    <x v="3"/>
    <x v="3"/>
    <x v="4"/>
    <x v="282"/>
    <x v="292"/>
    <x v="145"/>
    <x v="340"/>
    <x v="80"/>
    <x v="349"/>
    <x v="5"/>
    <x v="5"/>
  </r>
  <r>
    <x v="24"/>
    <x v="0"/>
    <x v="0"/>
    <x v="2"/>
    <x v="24"/>
    <x v="24"/>
    <x v="4"/>
    <x v="4"/>
    <x v="4"/>
    <x v="4"/>
    <x v="5"/>
    <x v="103"/>
    <x v="293"/>
    <x v="75"/>
    <x v="47"/>
    <x v="200"/>
    <x v="350"/>
    <x v="5"/>
    <x v="5"/>
  </r>
  <r>
    <x v="24"/>
    <x v="0"/>
    <x v="0"/>
    <x v="2"/>
    <x v="24"/>
    <x v="24"/>
    <x v="7"/>
    <x v="7"/>
    <x v="7"/>
    <x v="7"/>
    <x v="6"/>
    <x v="177"/>
    <x v="345"/>
    <x v="177"/>
    <x v="341"/>
    <x v="48"/>
    <x v="351"/>
    <x v="5"/>
    <x v="5"/>
  </r>
  <r>
    <x v="24"/>
    <x v="0"/>
    <x v="0"/>
    <x v="2"/>
    <x v="24"/>
    <x v="24"/>
    <x v="8"/>
    <x v="8"/>
    <x v="8"/>
    <x v="8"/>
    <x v="7"/>
    <x v="212"/>
    <x v="136"/>
    <x v="82"/>
    <x v="342"/>
    <x v="86"/>
    <x v="352"/>
    <x v="5"/>
    <x v="5"/>
  </r>
  <r>
    <x v="24"/>
    <x v="0"/>
    <x v="0"/>
    <x v="2"/>
    <x v="24"/>
    <x v="24"/>
    <x v="6"/>
    <x v="6"/>
    <x v="6"/>
    <x v="6"/>
    <x v="8"/>
    <x v="51"/>
    <x v="69"/>
    <x v="173"/>
    <x v="343"/>
    <x v="124"/>
    <x v="29"/>
    <x v="5"/>
    <x v="5"/>
  </r>
  <r>
    <x v="24"/>
    <x v="0"/>
    <x v="0"/>
    <x v="2"/>
    <x v="24"/>
    <x v="24"/>
    <x v="15"/>
    <x v="15"/>
    <x v="15"/>
    <x v="15"/>
    <x v="9"/>
    <x v="205"/>
    <x v="346"/>
    <x v="95"/>
    <x v="232"/>
    <x v="183"/>
    <x v="155"/>
    <x v="5"/>
    <x v="5"/>
  </r>
  <r>
    <x v="24"/>
    <x v="0"/>
    <x v="0"/>
    <x v="2"/>
    <x v="24"/>
    <x v="24"/>
    <x v="19"/>
    <x v="19"/>
    <x v="19"/>
    <x v="19"/>
    <x v="10"/>
    <x v="87"/>
    <x v="347"/>
    <x v="75"/>
    <x v="47"/>
    <x v="66"/>
    <x v="353"/>
    <x v="5"/>
    <x v="5"/>
  </r>
  <r>
    <x v="24"/>
    <x v="0"/>
    <x v="0"/>
    <x v="2"/>
    <x v="24"/>
    <x v="24"/>
    <x v="9"/>
    <x v="9"/>
    <x v="9"/>
    <x v="9"/>
    <x v="11"/>
    <x v="155"/>
    <x v="348"/>
    <x v="36"/>
    <x v="344"/>
    <x v="133"/>
    <x v="354"/>
    <x v="8"/>
    <x v="20"/>
  </r>
  <r>
    <x v="24"/>
    <x v="0"/>
    <x v="0"/>
    <x v="2"/>
    <x v="24"/>
    <x v="24"/>
    <x v="11"/>
    <x v="11"/>
    <x v="11"/>
    <x v="11"/>
    <x v="12"/>
    <x v="89"/>
    <x v="122"/>
    <x v="142"/>
    <x v="345"/>
    <x v="99"/>
    <x v="245"/>
    <x v="5"/>
    <x v="5"/>
  </r>
  <r>
    <x v="24"/>
    <x v="0"/>
    <x v="0"/>
    <x v="2"/>
    <x v="24"/>
    <x v="24"/>
    <x v="14"/>
    <x v="14"/>
    <x v="14"/>
    <x v="14"/>
    <x v="13"/>
    <x v="180"/>
    <x v="105"/>
    <x v="126"/>
    <x v="247"/>
    <x v="51"/>
    <x v="355"/>
    <x v="5"/>
    <x v="5"/>
  </r>
  <r>
    <x v="24"/>
    <x v="0"/>
    <x v="0"/>
    <x v="2"/>
    <x v="24"/>
    <x v="24"/>
    <x v="12"/>
    <x v="12"/>
    <x v="12"/>
    <x v="12"/>
    <x v="14"/>
    <x v="144"/>
    <x v="307"/>
    <x v="124"/>
    <x v="346"/>
    <x v="49"/>
    <x v="9"/>
    <x v="5"/>
    <x v="5"/>
  </r>
  <r>
    <x v="24"/>
    <x v="0"/>
    <x v="0"/>
    <x v="2"/>
    <x v="24"/>
    <x v="24"/>
    <x v="10"/>
    <x v="10"/>
    <x v="10"/>
    <x v="10"/>
    <x v="15"/>
    <x v="90"/>
    <x v="107"/>
    <x v="95"/>
    <x v="232"/>
    <x v="145"/>
    <x v="337"/>
    <x v="5"/>
    <x v="5"/>
  </r>
  <r>
    <x v="24"/>
    <x v="0"/>
    <x v="0"/>
    <x v="2"/>
    <x v="24"/>
    <x v="24"/>
    <x v="13"/>
    <x v="13"/>
    <x v="13"/>
    <x v="13"/>
    <x v="16"/>
    <x v="221"/>
    <x v="248"/>
    <x v="49"/>
    <x v="183"/>
    <x v="190"/>
    <x v="164"/>
    <x v="5"/>
    <x v="5"/>
  </r>
  <r>
    <x v="24"/>
    <x v="0"/>
    <x v="0"/>
    <x v="2"/>
    <x v="24"/>
    <x v="24"/>
    <x v="34"/>
    <x v="34"/>
    <x v="34"/>
    <x v="34"/>
    <x v="17"/>
    <x v="214"/>
    <x v="286"/>
    <x v="125"/>
    <x v="16"/>
    <x v="59"/>
    <x v="289"/>
    <x v="5"/>
    <x v="5"/>
  </r>
  <r>
    <x v="24"/>
    <x v="0"/>
    <x v="0"/>
    <x v="2"/>
    <x v="24"/>
    <x v="24"/>
    <x v="23"/>
    <x v="23"/>
    <x v="23"/>
    <x v="23"/>
    <x v="18"/>
    <x v="92"/>
    <x v="57"/>
    <x v="79"/>
    <x v="113"/>
    <x v="121"/>
    <x v="356"/>
    <x v="8"/>
    <x v="20"/>
  </r>
  <r>
    <x v="24"/>
    <x v="0"/>
    <x v="0"/>
    <x v="2"/>
    <x v="24"/>
    <x v="24"/>
    <x v="18"/>
    <x v="18"/>
    <x v="18"/>
    <x v="18"/>
    <x v="19"/>
    <x v="207"/>
    <x v="349"/>
    <x v="84"/>
    <x v="89"/>
    <x v="190"/>
    <x v="164"/>
    <x v="5"/>
    <x v="5"/>
  </r>
  <r>
    <x v="25"/>
    <x v="0"/>
    <x v="0"/>
    <x v="2"/>
    <x v="25"/>
    <x v="25"/>
    <x v="0"/>
    <x v="0"/>
    <x v="0"/>
    <x v="0"/>
    <x v="0"/>
    <x v="283"/>
    <x v="350"/>
    <x v="202"/>
    <x v="347"/>
    <x v="234"/>
    <x v="357"/>
    <x v="5"/>
    <x v="5"/>
  </r>
  <r>
    <x v="25"/>
    <x v="0"/>
    <x v="0"/>
    <x v="2"/>
    <x v="25"/>
    <x v="25"/>
    <x v="1"/>
    <x v="1"/>
    <x v="1"/>
    <x v="1"/>
    <x v="1"/>
    <x v="284"/>
    <x v="351"/>
    <x v="203"/>
    <x v="348"/>
    <x v="73"/>
    <x v="127"/>
    <x v="8"/>
    <x v="26"/>
  </r>
  <r>
    <x v="25"/>
    <x v="0"/>
    <x v="0"/>
    <x v="2"/>
    <x v="25"/>
    <x v="25"/>
    <x v="2"/>
    <x v="2"/>
    <x v="2"/>
    <x v="2"/>
    <x v="2"/>
    <x v="126"/>
    <x v="352"/>
    <x v="100"/>
    <x v="349"/>
    <x v="66"/>
    <x v="358"/>
    <x v="5"/>
    <x v="5"/>
  </r>
  <r>
    <x v="25"/>
    <x v="0"/>
    <x v="0"/>
    <x v="2"/>
    <x v="25"/>
    <x v="25"/>
    <x v="3"/>
    <x v="3"/>
    <x v="3"/>
    <x v="3"/>
    <x v="3"/>
    <x v="113"/>
    <x v="195"/>
    <x v="204"/>
    <x v="130"/>
    <x v="192"/>
    <x v="359"/>
    <x v="5"/>
    <x v="5"/>
  </r>
  <r>
    <x v="25"/>
    <x v="0"/>
    <x v="0"/>
    <x v="2"/>
    <x v="25"/>
    <x v="25"/>
    <x v="5"/>
    <x v="5"/>
    <x v="5"/>
    <x v="5"/>
    <x v="4"/>
    <x v="198"/>
    <x v="353"/>
    <x v="114"/>
    <x v="350"/>
    <x v="155"/>
    <x v="360"/>
    <x v="5"/>
    <x v="5"/>
  </r>
  <r>
    <x v="25"/>
    <x v="0"/>
    <x v="0"/>
    <x v="2"/>
    <x v="25"/>
    <x v="25"/>
    <x v="4"/>
    <x v="4"/>
    <x v="4"/>
    <x v="4"/>
    <x v="5"/>
    <x v="176"/>
    <x v="148"/>
    <x v="66"/>
    <x v="351"/>
    <x v="107"/>
    <x v="361"/>
    <x v="5"/>
    <x v="5"/>
  </r>
  <r>
    <x v="25"/>
    <x v="0"/>
    <x v="0"/>
    <x v="2"/>
    <x v="25"/>
    <x v="25"/>
    <x v="7"/>
    <x v="7"/>
    <x v="7"/>
    <x v="7"/>
    <x v="6"/>
    <x v="227"/>
    <x v="354"/>
    <x v="118"/>
    <x v="352"/>
    <x v="116"/>
    <x v="281"/>
    <x v="5"/>
    <x v="5"/>
  </r>
  <r>
    <x v="25"/>
    <x v="0"/>
    <x v="0"/>
    <x v="2"/>
    <x v="25"/>
    <x v="25"/>
    <x v="6"/>
    <x v="6"/>
    <x v="6"/>
    <x v="6"/>
    <x v="7"/>
    <x v="177"/>
    <x v="258"/>
    <x v="129"/>
    <x v="302"/>
    <x v="120"/>
    <x v="278"/>
    <x v="5"/>
    <x v="5"/>
  </r>
  <r>
    <x v="25"/>
    <x v="0"/>
    <x v="0"/>
    <x v="2"/>
    <x v="25"/>
    <x v="25"/>
    <x v="9"/>
    <x v="9"/>
    <x v="9"/>
    <x v="9"/>
    <x v="8"/>
    <x v="205"/>
    <x v="355"/>
    <x v="131"/>
    <x v="353"/>
    <x v="133"/>
    <x v="93"/>
    <x v="8"/>
    <x v="26"/>
  </r>
  <r>
    <x v="25"/>
    <x v="0"/>
    <x v="0"/>
    <x v="2"/>
    <x v="25"/>
    <x v="25"/>
    <x v="8"/>
    <x v="8"/>
    <x v="8"/>
    <x v="8"/>
    <x v="9"/>
    <x v="87"/>
    <x v="356"/>
    <x v="83"/>
    <x v="327"/>
    <x v="127"/>
    <x v="213"/>
    <x v="5"/>
    <x v="5"/>
  </r>
  <r>
    <x v="25"/>
    <x v="0"/>
    <x v="0"/>
    <x v="2"/>
    <x v="25"/>
    <x v="25"/>
    <x v="13"/>
    <x v="13"/>
    <x v="13"/>
    <x v="13"/>
    <x v="10"/>
    <x v="213"/>
    <x v="357"/>
    <x v="159"/>
    <x v="354"/>
    <x v="58"/>
    <x v="362"/>
    <x v="5"/>
    <x v="5"/>
  </r>
  <r>
    <x v="25"/>
    <x v="0"/>
    <x v="0"/>
    <x v="2"/>
    <x v="25"/>
    <x v="25"/>
    <x v="10"/>
    <x v="10"/>
    <x v="10"/>
    <x v="10"/>
    <x v="11"/>
    <x v="73"/>
    <x v="137"/>
    <x v="107"/>
    <x v="97"/>
    <x v="138"/>
    <x v="110"/>
    <x v="5"/>
    <x v="5"/>
  </r>
  <r>
    <x v="25"/>
    <x v="0"/>
    <x v="0"/>
    <x v="2"/>
    <x v="25"/>
    <x v="25"/>
    <x v="14"/>
    <x v="14"/>
    <x v="14"/>
    <x v="14"/>
    <x v="12"/>
    <x v="285"/>
    <x v="298"/>
    <x v="126"/>
    <x v="33"/>
    <x v="89"/>
    <x v="253"/>
    <x v="5"/>
    <x v="5"/>
  </r>
  <r>
    <x v="25"/>
    <x v="0"/>
    <x v="0"/>
    <x v="2"/>
    <x v="25"/>
    <x v="25"/>
    <x v="12"/>
    <x v="12"/>
    <x v="12"/>
    <x v="12"/>
    <x v="13"/>
    <x v="74"/>
    <x v="260"/>
    <x v="137"/>
    <x v="4"/>
    <x v="115"/>
    <x v="186"/>
    <x v="5"/>
    <x v="5"/>
  </r>
  <r>
    <x v="25"/>
    <x v="0"/>
    <x v="0"/>
    <x v="2"/>
    <x v="25"/>
    <x v="25"/>
    <x v="23"/>
    <x v="23"/>
    <x v="23"/>
    <x v="23"/>
    <x v="14"/>
    <x v="206"/>
    <x v="358"/>
    <x v="56"/>
    <x v="212"/>
    <x v="59"/>
    <x v="248"/>
    <x v="5"/>
    <x v="5"/>
  </r>
  <r>
    <x v="25"/>
    <x v="0"/>
    <x v="0"/>
    <x v="2"/>
    <x v="25"/>
    <x v="25"/>
    <x v="11"/>
    <x v="11"/>
    <x v="11"/>
    <x v="11"/>
    <x v="15"/>
    <x v="91"/>
    <x v="274"/>
    <x v="81"/>
    <x v="272"/>
    <x v="131"/>
    <x v="39"/>
    <x v="5"/>
    <x v="5"/>
  </r>
  <r>
    <x v="25"/>
    <x v="0"/>
    <x v="0"/>
    <x v="2"/>
    <x v="25"/>
    <x v="25"/>
    <x v="17"/>
    <x v="17"/>
    <x v="17"/>
    <x v="17"/>
    <x v="16"/>
    <x v="145"/>
    <x v="286"/>
    <x v="53"/>
    <x v="355"/>
    <x v="131"/>
    <x v="39"/>
    <x v="5"/>
    <x v="5"/>
  </r>
  <r>
    <x v="25"/>
    <x v="0"/>
    <x v="0"/>
    <x v="2"/>
    <x v="25"/>
    <x v="25"/>
    <x v="18"/>
    <x v="18"/>
    <x v="18"/>
    <x v="18"/>
    <x v="17"/>
    <x v="273"/>
    <x v="208"/>
    <x v="79"/>
    <x v="282"/>
    <x v="48"/>
    <x v="208"/>
    <x v="5"/>
    <x v="5"/>
  </r>
  <r>
    <x v="25"/>
    <x v="0"/>
    <x v="0"/>
    <x v="2"/>
    <x v="25"/>
    <x v="25"/>
    <x v="24"/>
    <x v="24"/>
    <x v="24"/>
    <x v="24"/>
    <x v="18"/>
    <x v="228"/>
    <x v="359"/>
    <x v="84"/>
    <x v="89"/>
    <x v="48"/>
    <x v="208"/>
    <x v="5"/>
    <x v="5"/>
  </r>
  <r>
    <x v="25"/>
    <x v="0"/>
    <x v="0"/>
    <x v="2"/>
    <x v="25"/>
    <x v="25"/>
    <x v="16"/>
    <x v="16"/>
    <x v="16"/>
    <x v="16"/>
    <x v="19"/>
    <x v="222"/>
    <x v="360"/>
    <x v="125"/>
    <x v="356"/>
    <x v="180"/>
    <x v="363"/>
    <x v="5"/>
    <x v="5"/>
  </r>
  <r>
    <x v="26"/>
    <x v="0"/>
    <x v="0"/>
    <x v="2"/>
    <x v="26"/>
    <x v="26"/>
    <x v="0"/>
    <x v="0"/>
    <x v="0"/>
    <x v="0"/>
    <x v="0"/>
    <x v="286"/>
    <x v="361"/>
    <x v="177"/>
    <x v="357"/>
    <x v="235"/>
    <x v="364"/>
    <x v="5"/>
    <x v="23"/>
  </r>
  <r>
    <x v="26"/>
    <x v="0"/>
    <x v="0"/>
    <x v="2"/>
    <x v="26"/>
    <x v="26"/>
    <x v="2"/>
    <x v="2"/>
    <x v="2"/>
    <x v="2"/>
    <x v="1"/>
    <x v="83"/>
    <x v="362"/>
    <x v="205"/>
    <x v="358"/>
    <x v="157"/>
    <x v="362"/>
    <x v="5"/>
    <x v="23"/>
  </r>
  <r>
    <x v="26"/>
    <x v="0"/>
    <x v="0"/>
    <x v="2"/>
    <x v="26"/>
    <x v="26"/>
    <x v="1"/>
    <x v="1"/>
    <x v="1"/>
    <x v="1"/>
    <x v="2"/>
    <x v="287"/>
    <x v="363"/>
    <x v="61"/>
    <x v="359"/>
    <x v="190"/>
    <x v="229"/>
    <x v="5"/>
    <x v="23"/>
  </r>
  <r>
    <x v="26"/>
    <x v="0"/>
    <x v="0"/>
    <x v="2"/>
    <x v="26"/>
    <x v="26"/>
    <x v="4"/>
    <x v="4"/>
    <x v="4"/>
    <x v="4"/>
    <x v="3"/>
    <x v="69"/>
    <x v="364"/>
    <x v="53"/>
    <x v="217"/>
    <x v="113"/>
    <x v="365"/>
    <x v="5"/>
    <x v="23"/>
  </r>
  <r>
    <x v="26"/>
    <x v="0"/>
    <x v="0"/>
    <x v="2"/>
    <x v="26"/>
    <x v="26"/>
    <x v="5"/>
    <x v="5"/>
    <x v="5"/>
    <x v="5"/>
    <x v="4"/>
    <x v="235"/>
    <x v="365"/>
    <x v="35"/>
    <x v="360"/>
    <x v="236"/>
    <x v="45"/>
    <x v="5"/>
    <x v="23"/>
  </r>
  <r>
    <x v="26"/>
    <x v="0"/>
    <x v="0"/>
    <x v="2"/>
    <x v="26"/>
    <x v="26"/>
    <x v="8"/>
    <x v="8"/>
    <x v="8"/>
    <x v="8"/>
    <x v="5"/>
    <x v="288"/>
    <x v="366"/>
    <x v="116"/>
    <x v="101"/>
    <x v="129"/>
    <x v="149"/>
    <x v="5"/>
    <x v="23"/>
  </r>
  <r>
    <x v="26"/>
    <x v="0"/>
    <x v="0"/>
    <x v="2"/>
    <x v="26"/>
    <x v="26"/>
    <x v="9"/>
    <x v="9"/>
    <x v="9"/>
    <x v="9"/>
    <x v="6"/>
    <x v="106"/>
    <x v="47"/>
    <x v="206"/>
    <x v="361"/>
    <x v="49"/>
    <x v="366"/>
    <x v="5"/>
    <x v="23"/>
  </r>
  <r>
    <x v="26"/>
    <x v="0"/>
    <x v="0"/>
    <x v="2"/>
    <x v="26"/>
    <x v="26"/>
    <x v="3"/>
    <x v="3"/>
    <x v="3"/>
    <x v="3"/>
    <x v="7"/>
    <x v="272"/>
    <x v="7"/>
    <x v="132"/>
    <x v="344"/>
    <x v="92"/>
    <x v="367"/>
    <x v="5"/>
    <x v="23"/>
  </r>
  <r>
    <x v="26"/>
    <x v="0"/>
    <x v="0"/>
    <x v="2"/>
    <x v="26"/>
    <x v="26"/>
    <x v="7"/>
    <x v="7"/>
    <x v="7"/>
    <x v="7"/>
    <x v="8"/>
    <x v="179"/>
    <x v="367"/>
    <x v="120"/>
    <x v="362"/>
    <x v="114"/>
    <x v="162"/>
    <x v="5"/>
    <x v="23"/>
  </r>
  <r>
    <x v="26"/>
    <x v="0"/>
    <x v="0"/>
    <x v="2"/>
    <x v="26"/>
    <x v="26"/>
    <x v="6"/>
    <x v="6"/>
    <x v="6"/>
    <x v="6"/>
    <x v="9"/>
    <x v="170"/>
    <x v="85"/>
    <x v="106"/>
    <x v="363"/>
    <x v="118"/>
    <x v="368"/>
    <x v="5"/>
    <x v="23"/>
  </r>
  <r>
    <x v="26"/>
    <x v="0"/>
    <x v="0"/>
    <x v="2"/>
    <x v="26"/>
    <x v="26"/>
    <x v="10"/>
    <x v="10"/>
    <x v="10"/>
    <x v="10"/>
    <x v="10"/>
    <x v="144"/>
    <x v="368"/>
    <x v="103"/>
    <x v="328"/>
    <x v="73"/>
    <x v="35"/>
    <x v="5"/>
    <x v="23"/>
  </r>
  <r>
    <x v="26"/>
    <x v="0"/>
    <x v="0"/>
    <x v="2"/>
    <x v="26"/>
    <x v="26"/>
    <x v="12"/>
    <x v="12"/>
    <x v="12"/>
    <x v="12"/>
    <x v="11"/>
    <x v="221"/>
    <x v="369"/>
    <x v="82"/>
    <x v="152"/>
    <x v="49"/>
    <x v="366"/>
    <x v="5"/>
    <x v="23"/>
  </r>
  <r>
    <x v="26"/>
    <x v="0"/>
    <x v="0"/>
    <x v="2"/>
    <x v="26"/>
    <x v="26"/>
    <x v="13"/>
    <x v="13"/>
    <x v="13"/>
    <x v="13"/>
    <x v="12"/>
    <x v="122"/>
    <x v="370"/>
    <x v="75"/>
    <x v="364"/>
    <x v="181"/>
    <x v="128"/>
    <x v="5"/>
    <x v="23"/>
  </r>
  <r>
    <x v="26"/>
    <x v="0"/>
    <x v="0"/>
    <x v="2"/>
    <x v="26"/>
    <x v="26"/>
    <x v="14"/>
    <x v="14"/>
    <x v="14"/>
    <x v="14"/>
    <x v="13"/>
    <x v="206"/>
    <x v="371"/>
    <x v="71"/>
    <x v="177"/>
    <x v="142"/>
    <x v="257"/>
    <x v="5"/>
    <x v="23"/>
  </r>
  <r>
    <x v="26"/>
    <x v="0"/>
    <x v="0"/>
    <x v="2"/>
    <x v="26"/>
    <x v="26"/>
    <x v="22"/>
    <x v="22"/>
    <x v="22"/>
    <x v="22"/>
    <x v="14"/>
    <x v="92"/>
    <x v="307"/>
    <x v="56"/>
    <x v="365"/>
    <x v="49"/>
    <x v="366"/>
    <x v="5"/>
    <x v="23"/>
  </r>
  <r>
    <x v="26"/>
    <x v="0"/>
    <x v="0"/>
    <x v="2"/>
    <x v="26"/>
    <x v="26"/>
    <x v="18"/>
    <x v="18"/>
    <x v="18"/>
    <x v="18"/>
    <x v="15"/>
    <x v="215"/>
    <x v="75"/>
    <x v="125"/>
    <x v="102"/>
    <x v="54"/>
    <x v="332"/>
    <x v="5"/>
    <x v="23"/>
  </r>
  <r>
    <x v="26"/>
    <x v="0"/>
    <x v="0"/>
    <x v="2"/>
    <x v="26"/>
    <x v="26"/>
    <x v="15"/>
    <x v="15"/>
    <x v="15"/>
    <x v="15"/>
    <x v="16"/>
    <x v="147"/>
    <x v="372"/>
    <x v="116"/>
    <x v="101"/>
    <x v="131"/>
    <x v="369"/>
    <x v="5"/>
    <x v="23"/>
  </r>
  <r>
    <x v="26"/>
    <x v="0"/>
    <x v="0"/>
    <x v="2"/>
    <x v="26"/>
    <x v="26"/>
    <x v="20"/>
    <x v="20"/>
    <x v="20"/>
    <x v="20"/>
    <x v="16"/>
    <x v="147"/>
    <x v="372"/>
    <x v="125"/>
    <x v="102"/>
    <x v="122"/>
    <x v="74"/>
    <x v="5"/>
    <x v="23"/>
  </r>
  <r>
    <x v="26"/>
    <x v="0"/>
    <x v="0"/>
    <x v="2"/>
    <x v="26"/>
    <x v="26"/>
    <x v="34"/>
    <x v="34"/>
    <x v="34"/>
    <x v="34"/>
    <x v="18"/>
    <x v="289"/>
    <x v="127"/>
    <x v="71"/>
    <x v="177"/>
    <x v="140"/>
    <x v="370"/>
    <x v="5"/>
    <x v="23"/>
  </r>
  <r>
    <x v="26"/>
    <x v="0"/>
    <x v="0"/>
    <x v="2"/>
    <x v="26"/>
    <x v="26"/>
    <x v="24"/>
    <x v="24"/>
    <x v="24"/>
    <x v="24"/>
    <x v="19"/>
    <x v="137"/>
    <x v="373"/>
    <x v="84"/>
    <x v="89"/>
    <x v="137"/>
    <x v="254"/>
    <x v="5"/>
    <x v="23"/>
  </r>
  <r>
    <x v="26"/>
    <x v="0"/>
    <x v="0"/>
    <x v="2"/>
    <x v="26"/>
    <x v="26"/>
    <x v="23"/>
    <x v="23"/>
    <x v="23"/>
    <x v="23"/>
    <x v="19"/>
    <x v="137"/>
    <x v="373"/>
    <x v="84"/>
    <x v="89"/>
    <x v="137"/>
    <x v="254"/>
    <x v="5"/>
    <x v="23"/>
  </r>
  <r>
    <x v="27"/>
    <x v="0"/>
    <x v="0"/>
    <x v="2"/>
    <x v="27"/>
    <x v="27"/>
    <x v="0"/>
    <x v="0"/>
    <x v="0"/>
    <x v="0"/>
    <x v="0"/>
    <x v="63"/>
    <x v="374"/>
    <x v="91"/>
    <x v="285"/>
    <x v="237"/>
    <x v="371"/>
    <x v="5"/>
    <x v="5"/>
  </r>
  <r>
    <x v="27"/>
    <x v="0"/>
    <x v="0"/>
    <x v="2"/>
    <x v="27"/>
    <x v="27"/>
    <x v="2"/>
    <x v="2"/>
    <x v="2"/>
    <x v="2"/>
    <x v="1"/>
    <x v="235"/>
    <x v="276"/>
    <x v="33"/>
    <x v="366"/>
    <x v="88"/>
    <x v="372"/>
    <x v="5"/>
    <x v="5"/>
  </r>
  <r>
    <x v="27"/>
    <x v="0"/>
    <x v="0"/>
    <x v="2"/>
    <x v="27"/>
    <x v="27"/>
    <x v="1"/>
    <x v="1"/>
    <x v="1"/>
    <x v="1"/>
    <x v="2"/>
    <x v="169"/>
    <x v="375"/>
    <x v="156"/>
    <x v="367"/>
    <x v="123"/>
    <x v="373"/>
    <x v="5"/>
    <x v="5"/>
  </r>
  <r>
    <x v="27"/>
    <x v="0"/>
    <x v="0"/>
    <x v="2"/>
    <x v="27"/>
    <x v="27"/>
    <x v="4"/>
    <x v="4"/>
    <x v="4"/>
    <x v="4"/>
    <x v="3"/>
    <x v="205"/>
    <x v="131"/>
    <x v="49"/>
    <x v="25"/>
    <x v="83"/>
    <x v="374"/>
    <x v="5"/>
    <x v="5"/>
  </r>
  <r>
    <x v="27"/>
    <x v="0"/>
    <x v="0"/>
    <x v="2"/>
    <x v="27"/>
    <x v="27"/>
    <x v="10"/>
    <x v="10"/>
    <x v="10"/>
    <x v="10"/>
    <x v="3"/>
    <x v="205"/>
    <x v="131"/>
    <x v="69"/>
    <x v="368"/>
    <x v="109"/>
    <x v="375"/>
    <x v="8"/>
    <x v="27"/>
  </r>
  <r>
    <x v="27"/>
    <x v="0"/>
    <x v="0"/>
    <x v="2"/>
    <x v="27"/>
    <x v="27"/>
    <x v="9"/>
    <x v="9"/>
    <x v="9"/>
    <x v="9"/>
    <x v="5"/>
    <x v="87"/>
    <x v="376"/>
    <x v="123"/>
    <x v="369"/>
    <x v="118"/>
    <x v="11"/>
    <x v="8"/>
    <x v="27"/>
  </r>
  <r>
    <x v="27"/>
    <x v="0"/>
    <x v="0"/>
    <x v="2"/>
    <x v="27"/>
    <x v="27"/>
    <x v="3"/>
    <x v="3"/>
    <x v="3"/>
    <x v="3"/>
    <x v="6"/>
    <x v="218"/>
    <x v="170"/>
    <x v="95"/>
    <x v="370"/>
    <x v="57"/>
    <x v="376"/>
    <x v="5"/>
    <x v="5"/>
  </r>
  <r>
    <x v="27"/>
    <x v="0"/>
    <x v="0"/>
    <x v="2"/>
    <x v="27"/>
    <x v="27"/>
    <x v="7"/>
    <x v="7"/>
    <x v="7"/>
    <x v="7"/>
    <x v="7"/>
    <x v="269"/>
    <x v="377"/>
    <x v="207"/>
    <x v="371"/>
    <x v="179"/>
    <x v="377"/>
    <x v="5"/>
    <x v="5"/>
  </r>
  <r>
    <x v="27"/>
    <x v="0"/>
    <x v="0"/>
    <x v="2"/>
    <x v="27"/>
    <x v="27"/>
    <x v="6"/>
    <x v="6"/>
    <x v="6"/>
    <x v="6"/>
    <x v="8"/>
    <x v="132"/>
    <x v="68"/>
    <x v="166"/>
    <x v="372"/>
    <x v="54"/>
    <x v="220"/>
    <x v="8"/>
    <x v="27"/>
  </r>
  <r>
    <x v="27"/>
    <x v="0"/>
    <x v="0"/>
    <x v="2"/>
    <x v="27"/>
    <x v="27"/>
    <x v="5"/>
    <x v="5"/>
    <x v="5"/>
    <x v="5"/>
    <x v="9"/>
    <x v="290"/>
    <x v="378"/>
    <x v="82"/>
    <x v="13"/>
    <x v="92"/>
    <x v="267"/>
    <x v="5"/>
    <x v="5"/>
  </r>
  <r>
    <x v="27"/>
    <x v="0"/>
    <x v="0"/>
    <x v="2"/>
    <x v="27"/>
    <x v="27"/>
    <x v="13"/>
    <x v="13"/>
    <x v="13"/>
    <x v="13"/>
    <x v="10"/>
    <x v="291"/>
    <x v="333"/>
    <x v="94"/>
    <x v="373"/>
    <x v="88"/>
    <x v="372"/>
    <x v="5"/>
    <x v="5"/>
  </r>
  <r>
    <x v="27"/>
    <x v="0"/>
    <x v="0"/>
    <x v="2"/>
    <x v="27"/>
    <x v="27"/>
    <x v="8"/>
    <x v="8"/>
    <x v="8"/>
    <x v="8"/>
    <x v="11"/>
    <x v="76"/>
    <x v="379"/>
    <x v="125"/>
    <x v="71"/>
    <x v="170"/>
    <x v="378"/>
    <x v="5"/>
    <x v="5"/>
  </r>
  <r>
    <x v="27"/>
    <x v="0"/>
    <x v="0"/>
    <x v="2"/>
    <x v="27"/>
    <x v="27"/>
    <x v="11"/>
    <x v="11"/>
    <x v="11"/>
    <x v="11"/>
    <x v="12"/>
    <x v="121"/>
    <x v="297"/>
    <x v="94"/>
    <x v="373"/>
    <x v="119"/>
    <x v="379"/>
    <x v="5"/>
    <x v="5"/>
  </r>
  <r>
    <x v="27"/>
    <x v="0"/>
    <x v="0"/>
    <x v="2"/>
    <x v="27"/>
    <x v="27"/>
    <x v="12"/>
    <x v="12"/>
    <x v="12"/>
    <x v="12"/>
    <x v="13"/>
    <x v="135"/>
    <x v="221"/>
    <x v="93"/>
    <x v="374"/>
    <x v="140"/>
    <x v="307"/>
    <x v="5"/>
    <x v="5"/>
  </r>
  <r>
    <x v="27"/>
    <x v="0"/>
    <x v="0"/>
    <x v="2"/>
    <x v="27"/>
    <x v="27"/>
    <x v="23"/>
    <x v="23"/>
    <x v="23"/>
    <x v="23"/>
    <x v="14"/>
    <x v="136"/>
    <x v="91"/>
    <x v="56"/>
    <x v="356"/>
    <x v="133"/>
    <x v="344"/>
    <x v="5"/>
    <x v="5"/>
  </r>
  <r>
    <x v="27"/>
    <x v="0"/>
    <x v="0"/>
    <x v="2"/>
    <x v="27"/>
    <x v="27"/>
    <x v="14"/>
    <x v="14"/>
    <x v="14"/>
    <x v="14"/>
    <x v="15"/>
    <x v="193"/>
    <x v="55"/>
    <x v="56"/>
    <x v="356"/>
    <x v="132"/>
    <x v="12"/>
    <x v="5"/>
    <x v="5"/>
  </r>
  <r>
    <x v="27"/>
    <x v="0"/>
    <x v="0"/>
    <x v="2"/>
    <x v="27"/>
    <x v="27"/>
    <x v="16"/>
    <x v="16"/>
    <x v="16"/>
    <x v="16"/>
    <x v="16"/>
    <x v="292"/>
    <x v="358"/>
    <x v="125"/>
    <x v="71"/>
    <x v="93"/>
    <x v="229"/>
    <x v="5"/>
    <x v="5"/>
  </r>
  <r>
    <x v="27"/>
    <x v="0"/>
    <x v="0"/>
    <x v="2"/>
    <x v="27"/>
    <x v="27"/>
    <x v="24"/>
    <x v="24"/>
    <x v="24"/>
    <x v="24"/>
    <x v="17"/>
    <x v="147"/>
    <x v="125"/>
    <x v="84"/>
    <x v="89"/>
    <x v="93"/>
    <x v="229"/>
    <x v="5"/>
    <x v="5"/>
  </r>
  <r>
    <x v="27"/>
    <x v="0"/>
    <x v="0"/>
    <x v="2"/>
    <x v="27"/>
    <x v="27"/>
    <x v="18"/>
    <x v="18"/>
    <x v="18"/>
    <x v="18"/>
    <x v="18"/>
    <x v="273"/>
    <x v="234"/>
    <x v="125"/>
    <x v="71"/>
    <x v="137"/>
    <x v="380"/>
    <x v="5"/>
    <x v="5"/>
  </r>
  <r>
    <x v="27"/>
    <x v="0"/>
    <x v="0"/>
    <x v="2"/>
    <x v="27"/>
    <x v="27"/>
    <x v="17"/>
    <x v="17"/>
    <x v="17"/>
    <x v="17"/>
    <x v="19"/>
    <x v="222"/>
    <x v="75"/>
    <x v="116"/>
    <x v="375"/>
    <x v="136"/>
    <x v="381"/>
    <x v="5"/>
    <x v="5"/>
  </r>
  <r>
    <x v="28"/>
    <x v="0"/>
    <x v="0"/>
    <x v="1"/>
    <x v="28"/>
    <x v="28"/>
    <x v="2"/>
    <x v="2"/>
    <x v="2"/>
    <x v="2"/>
    <x v="0"/>
    <x v="293"/>
    <x v="380"/>
    <x v="208"/>
    <x v="376"/>
    <x v="238"/>
    <x v="382"/>
    <x v="5"/>
    <x v="5"/>
  </r>
  <r>
    <x v="28"/>
    <x v="0"/>
    <x v="0"/>
    <x v="1"/>
    <x v="28"/>
    <x v="28"/>
    <x v="1"/>
    <x v="1"/>
    <x v="1"/>
    <x v="1"/>
    <x v="1"/>
    <x v="294"/>
    <x v="381"/>
    <x v="209"/>
    <x v="377"/>
    <x v="239"/>
    <x v="207"/>
    <x v="5"/>
    <x v="5"/>
  </r>
  <r>
    <x v="28"/>
    <x v="0"/>
    <x v="0"/>
    <x v="1"/>
    <x v="28"/>
    <x v="28"/>
    <x v="0"/>
    <x v="0"/>
    <x v="0"/>
    <x v="0"/>
    <x v="2"/>
    <x v="295"/>
    <x v="382"/>
    <x v="210"/>
    <x v="253"/>
    <x v="240"/>
    <x v="383"/>
    <x v="4"/>
    <x v="34"/>
  </r>
  <r>
    <x v="28"/>
    <x v="0"/>
    <x v="0"/>
    <x v="1"/>
    <x v="28"/>
    <x v="28"/>
    <x v="5"/>
    <x v="5"/>
    <x v="5"/>
    <x v="5"/>
    <x v="3"/>
    <x v="296"/>
    <x v="383"/>
    <x v="147"/>
    <x v="363"/>
    <x v="241"/>
    <x v="384"/>
    <x v="5"/>
    <x v="5"/>
  </r>
  <r>
    <x v="28"/>
    <x v="0"/>
    <x v="0"/>
    <x v="1"/>
    <x v="28"/>
    <x v="28"/>
    <x v="4"/>
    <x v="4"/>
    <x v="4"/>
    <x v="4"/>
    <x v="4"/>
    <x v="297"/>
    <x v="384"/>
    <x v="42"/>
    <x v="217"/>
    <x v="242"/>
    <x v="385"/>
    <x v="5"/>
    <x v="5"/>
  </r>
  <r>
    <x v="28"/>
    <x v="0"/>
    <x v="0"/>
    <x v="1"/>
    <x v="28"/>
    <x v="28"/>
    <x v="3"/>
    <x v="3"/>
    <x v="3"/>
    <x v="3"/>
    <x v="5"/>
    <x v="298"/>
    <x v="385"/>
    <x v="211"/>
    <x v="176"/>
    <x v="243"/>
    <x v="293"/>
    <x v="5"/>
    <x v="5"/>
  </r>
  <r>
    <x v="28"/>
    <x v="0"/>
    <x v="0"/>
    <x v="1"/>
    <x v="28"/>
    <x v="28"/>
    <x v="9"/>
    <x v="9"/>
    <x v="9"/>
    <x v="9"/>
    <x v="6"/>
    <x v="299"/>
    <x v="386"/>
    <x v="212"/>
    <x v="7"/>
    <x v="105"/>
    <x v="125"/>
    <x v="2"/>
    <x v="35"/>
  </r>
  <r>
    <x v="28"/>
    <x v="0"/>
    <x v="0"/>
    <x v="1"/>
    <x v="28"/>
    <x v="28"/>
    <x v="8"/>
    <x v="8"/>
    <x v="8"/>
    <x v="8"/>
    <x v="7"/>
    <x v="300"/>
    <x v="387"/>
    <x v="155"/>
    <x v="90"/>
    <x v="244"/>
    <x v="386"/>
    <x v="5"/>
    <x v="5"/>
  </r>
  <r>
    <x v="28"/>
    <x v="0"/>
    <x v="0"/>
    <x v="1"/>
    <x v="28"/>
    <x v="28"/>
    <x v="7"/>
    <x v="7"/>
    <x v="7"/>
    <x v="7"/>
    <x v="8"/>
    <x v="301"/>
    <x v="171"/>
    <x v="184"/>
    <x v="378"/>
    <x v="83"/>
    <x v="17"/>
    <x v="5"/>
    <x v="5"/>
  </r>
  <r>
    <x v="28"/>
    <x v="0"/>
    <x v="0"/>
    <x v="1"/>
    <x v="28"/>
    <x v="28"/>
    <x v="6"/>
    <x v="6"/>
    <x v="6"/>
    <x v="6"/>
    <x v="9"/>
    <x v="302"/>
    <x v="333"/>
    <x v="213"/>
    <x v="379"/>
    <x v="222"/>
    <x v="387"/>
    <x v="8"/>
    <x v="36"/>
  </r>
  <r>
    <x v="28"/>
    <x v="0"/>
    <x v="0"/>
    <x v="1"/>
    <x v="28"/>
    <x v="28"/>
    <x v="13"/>
    <x v="13"/>
    <x v="13"/>
    <x v="13"/>
    <x v="10"/>
    <x v="303"/>
    <x v="103"/>
    <x v="112"/>
    <x v="163"/>
    <x v="245"/>
    <x v="388"/>
    <x v="5"/>
    <x v="5"/>
  </r>
  <r>
    <x v="28"/>
    <x v="0"/>
    <x v="0"/>
    <x v="1"/>
    <x v="28"/>
    <x v="28"/>
    <x v="12"/>
    <x v="12"/>
    <x v="12"/>
    <x v="12"/>
    <x v="11"/>
    <x v="304"/>
    <x v="388"/>
    <x v="214"/>
    <x v="380"/>
    <x v="152"/>
    <x v="29"/>
    <x v="5"/>
    <x v="5"/>
  </r>
  <r>
    <x v="28"/>
    <x v="0"/>
    <x v="0"/>
    <x v="1"/>
    <x v="28"/>
    <x v="28"/>
    <x v="10"/>
    <x v="10"/>
    <x v="10"/>
    <x v="10"/>
    <x v="11"/>
    <x v="304"/>
    <x v="388"/>
    <x v="215"/>
    <x v="381"/>
    <x v="61"/>
    <x v="137"/>
    <x v="5"/>
    <x v="5"/>
  </r>
  <r>
    <x v="28"/>
    <x v="0"/>
    <x v="0"/>
    <x v="1"/>
    <x v="28"/>
    <x v="28"/>
    <x v="14"/>
    <x v="14"/>
    <x v="14"/>
    <x v="14"/>
    <x v="13"/>
    <x v="194"/>
    <x v="389"/>
    <x v="75"/>
    <x v="71"/>
    <x v="246"/>
    <x v="389"/>
    <x v="5"/>
    <x v="5"/>
  </r>
  <r>
    <x v="28"/>
    <x v="0"/>
    <x v="0"/>
    <x v="1"/>
    <x v="28"/>
    <x v="28"/>
    <x v="11"/>
    <x v="11"/>
    <x v="11"/>
    <x v="11"/>
    <x v="14"/>
    <x v="305"/>
    <x v="390"/>
    <x v="204"/>
    <x v="24"/>
    <x v="247"/>
    <x v="69"/>
    <x v="5"/>
    <x v="5"/>
  </r>
  <r>
    <x v="28"/>
    <x v="0"/>
    <x v="0"/>
    <x v="1"/>
    <x v="28"/>
    <x v="28"/>
    <x v="19"/>
    <x v="19"/>
    <x v="19"/>
    <x v="19"/>
    <x v="15"/>
    <x v="306"/>
    <x v="54"/>
    <x v="166"/>
    <x v="382"/>
    <x v="248"/>
    <x v="187"/>
    <x v="5"/>
    <x v="5"/>
  </r>
  <r>
    <x v="28"/>
    <x v="0"/>
    <x v="0"/>
    <x v="1"/>
    <x v="28"/>
    <x v="28"/>
    <x v="15"/>
    <x v="15"/>
    <x v="15"/>
    <x v="15"/>
    <x v="16"/>
    <x v="232"/>
    <x v="56"/>
    <x v="161"/>
    <x v="263"/>
    <x v="249"/>
    <x v="191"/>
    <x v="5"/>
    <x v="5"/>
  </r>
  <r>
    <x v="28"/>
    <x v="0"/>
    <x v="0"/>
    <x v="1"/>
    <x v="28"/>
    <x v="28"/>
    <x v="16"/>
    <x v="16"/>
    <x v="16"/>
    <x v="16"/>
    <x v="17"/>
    <x v="210"/>
    <x v="191"/>
    <x v="75"/>
    <x v="71"/>
    <x v="250"/>
    <x v="380"/>
    <x v="5"/>
    <x v="5"/>
  </r>
  <r>
    <x v="28"/>
    <x v="0"/>
    <x v="0"/>
    <x v="1"/>
    <x v="28"/>
    <x v="28"/>
    <x v="21"/>
    <x v="21"/>
    <x v="21"/>
    <x v="21"/>
    <x v="18"/>
    <x v="307"/>
    <x v="372"/>
    <x v="159"/>
    <x v="100"/>
    <x v="104"/>
    <x v="306"/>
    <x v="5"/>
    <x v="5"/>
  </r>
  <r>
    <x v="28"/>
    <x v="0"/>
    <x v="0"/>
    <x v="1"/>
    <x v="28"/>
    <x v="28"/>
    <x v="23"/>
    <x v="23"/>
    <x v="23"/>
    <x v="23"/>
    <x v="19"/>
    <x v="308"/>
    <x v="222"/>
    <x v="54"/>
    <x v="85"/>
    <x v="211"/>
    <x v="30"/>
    <x v="8"/>
    <x v="36"/>
  </r>
  <r>
    <x v="29"/>
    <x v="0"/>
    <x v="0"/>
    <x v="2"/>
    <x v="29"/>
    <x v="29"/>
    <x v="0"/>
    <x v="0"/>
    <x v="0"/>
    <x v="0"/>
    <x v="0"/>
    <x v="303"/>
    <x v="391"/>
    <x v="170"/>
    <x v="383"/>
    <x v="50"/>
    <x v="390"/>
    <x v="5"/>
    <x v="5"/>
  </r>
  <r>
    <x v="29"/>
    <x v="0"/>
    <x v="0"/>
    <x v="2"/>
    <x v="29"/>
    <x v="29"/>
    <x v="2"/>
    <x v="2"/>
    <x v="2"/>
    <x v="2"/>
    <x v="1"/>
    <x v="97"/>
    <x v="224"/>
    <x v="216"/>
    <x v="384"/>
    <x v="124"/>
    <x v="32"/>
    <x v="5"/>
    <x v="5"/>
  </r>
  <r>
    <x v="29"/>
    <x v="0"/>
    <x v="0"/>
    <x v="2"/>
    <x v="29"/>
    <x v="29"/>
    <x v="1"/>
    <x v="1"/>
    <x v="1"/>
    <x v="1"/>
    <x v="2"/>
    <x v="45"/>
    <x v="392"/>
    <x v="217"/>
    <x v="385"/>
    <x v="59"/>
    <x v="179"/>
    <x v="5"/>
    <x v="5"/>
  </r>
  <r>
    <x v="29"/>
    <x v="0"/>
    <x v="0"/>
    <x v="2"/>
    <x v="29"/>
    <x v="29"/>
    <x v="4"/>
    <x v="4"/>
    <x v="4"/>
    <x v="4"/>
    <x v="3"/>
    <x v="309"/>
    <x v="393"/>
    <x v="169"/>
    <x v="386"/>
    <x v="251"/>
    <x v="391"/>
    <x v="5"/>
    <x v="5"/>
  </r>
  <r>
    <x v="29"/>
    <x v="0"/>
    <x v="0"/>
    <x v="2"/>
    <x v="29"/>
    <x v="29"/>
    <x v="5"/>
    <x v="5"/>
    <x v="5"/>
    <x v="5"/>
    <x v="4"/>
    <x v="98"/>
    <x v="214"/>
    <x v="139"/>
    <x v="387"/>
    <x v="166"/>
    <x v="214"/>
    <x v="5"/>
    <x v="5"/>
  </r>
  <r>
    <x v="29"/>
    <x v="0"/>
    <x v="0"/>
    <x v="2"/>
    <x v="29"/>
    <x v="29"/>
    <x v="3"/>
    <x v="3"/>
    <x v="3"/>
    <x v="3"/>
    <x v="5"/>
    <x v="201"/>
    <x v="196"/>
    <x v="218"/>
    <x v="82"/>
    <x v="201"/>
    <x v="314"/>
    <x v="5"/>
    <x v="5"/>
  </r>
  <r>
    <x v="29"/>
    <x v="0"/>
    <x v="0"/>
    <x v="2"/>
    <x v="29"/>
    <x v="29"/>
    <x v="9"/>
    <x v="9"/>
    <x v="9"/>
    <x v="9"/>
    <x v="6"/>
    <x v="69"/>
    <x v="394"/>
    <x v="175"/>
    <x v="207"/>
    <x v="132"/>
    <x v="141"/>
    <x v="8"/>
    <x v="20"/>
  </r>
  <r>
    <x v="29"/>
    <x v="0"/>
    <x v="0"/>
    <x v="2"/>
    <x v="29"/>
    <x v="29"/>
    <x v="7"/>
    <x v="7"/>
    <x v="7"/>
    <x v="7"/>
    <x v="7"/>
    <x v="141"/>
    <x v="395"/>
    <x v="112"/>
    <x v="388"/>
    <x v="180"/>
    <x v="154"/>
    <x v="5"/>
    <x v="5"/>
  </r>
  <r>
    <x v="29"/>
    <x v="0"/>
    <x v="0"/>
    <x v="2"/>
    <x v="29"/>
    <x v="29"/>
    <x v="8"/>
    <x v="8"/>
    <x v="8"/>
    <x v="8"/>
    <x v="8"/>
    <x v="115"/>
    <x v="68"/>
    <x v="66"/>
    <x v="137"/>
    <x v="177"/>
    <x v="392"/>
    <x v="5"/>
    <x v="5"/>
  </r>
  <r>
    <x v="29"/>
    <x v="0"/>
    <x v="0"/>
    <x v="2"/>
    <x v="29"/>
    <x v="29"/>
    <x v="6"/>
    <x v="6"/>
    <x v="6"/>
    <x v="6"/>
    <x v="9"/>
    <x v="116"/>
    <x v="259"/>
    <x v="219"/>
    <x v="389"/>
    <x v="118"/>
    <x v="36"/>
    <x v="5"/>
    <x v="5"/>
  </r>
  <r>
    <x v="29"/>
    <x v="0"/>
    <x v="0"/>
    <x v="2"/>
    <x v="29"/>
    <x v="29"/>
    <x v="13"/>
    <x v="13"/>
    <x v="13"/>
    <x v="13"/>
    <x v="10"/>
    <x v="56"/>
    <x v="138"/>
    <x v="35"/>
    <x v="390"/>
    <x v="77"/>
    <x v="393"/>
    <x v="5"/>
    <x v="5"/>
  </r>
  <r>
    <x v="29"/>
    <x v="0"/>
    <x v="0"/>
    <x v="2"/>
    <x v="29"/>
    <x v="29"/>
    <x v="12"/>
    <x v="12"/>
    <x v="12"/>
    <x v="12"/>
    <x v="11"/>
    <x v="191"/>
    <x v="33"/>
    <x v="114"/>
    <x v="261"/>
    <x v="118"/>
    <x v="36"/>
    <x v="5"/>
    <x v="5"/>
  </r>
  <r>
    <x v="29"/>
    <x v="0"/>
    <x v="0"/>
    <x v="2"/>
    <x v="29"/>
    <x v="29"/>
    <x v="11"/>
    <x v="11"/>
    <x v="11"/>
    <x v="11"/>
    <x v="12"/>
    <x v="119"/>
    <x v="13"/>
    <x v="53"/>
    <x v="375"/>
    <x v="170"/>
    <x v="394"/>
    <x v="5"/>
    <x v="5"/>
  </r>
  <r>
    <x v="29"/>
    <x v="0"/>
    <x v="0"/>
    <x v="2"/>
    <x v="29"/>
    <x v="29"/>
    <x v="19"/>
    <x v="19"/>
    <x v="19"/>
    <x v="19"/>
    <x v="13"/>
    <x v="120"/>
    <x v="396"/>
    <x v="75"/>
    <x v="120"/>
    <x v="124"/>
    <x v="32"/>
    <x v="5"/>
    <x v="5"/>
  </r>
  <r>
    <x v="29"/>
    <x v="0"/>
    <x v="0"/>
    <x v="2"/>
    <x v="29"/>
    <x v="29"/>
    <x v="15"/>
    <x v="15"/>
    <x v="15"/>
    <x v="15"/>
    <x v="14"/>
    <x v="156"/>
    <x v="397"/>
    <x v="53"/>
    <x v="375"/>
    <x v="99"/>
    <x v="373"/>
    <x v="5"/>
    <x v="5"/>
  </r>
  <r>
    <x v="29"/>
    <x v="0"/>
    <x v="0"/>
    <x v="2"/>
    <x v="29"/>
    <x v="29"/>
    <x v="10"/>
    <x v="10"/>
    <x v="10"/>
    <x v="10"/>
    <x v="15"/>
    <x v="180"/>
    <x v="398"/>
    <x v="51"/>
    <x v="391"/>
    <x v="114"/>
    <x v="112"/>
    <x v="5"/>
    <x v="5"/>
  </r>
  <r>
    <x v="29"/>
    <x v="0"/>
    <x v="0"/>
    <x v="2"/>
    <x v="29"/>
    <x v="29"/>
    <x v="14"/>
    <x v="14"/>
    <x v="14"/>
    <x v="14"/>
    <x v="16"/>
    <x v="221"/>
    <x v="74"/>
    <x v="57"/>
    <x v="247"/>
    <x v="75"/>
    <x v="12"/>
    <x v="5"/>
    <x v="5"/>
  </r>
  <r>
    <x v="29"/>
    <x v="0"/>
    <x v="0"/>
    <x v="2"/>
    <x v="29"/>
    <x v="29"/>
    <x v="32"/>
    <x v="32"/>
    <x v="32"/>
    <x v="32"/>
    <x v="17"/>
    <x v="214"/>
    <x v="249"/>
    <x v="62"/>
    <x v="260"/>
    <x v="135"/>
    <x v="223"/>
    <x v="5"/>
    <x v="5"/>
  </r>
  <r>
    <x v="29"/>
    <x v="0"/>
    <x v="0"/>
    <x v="2"/>
    <x v="29"/>
    <x v="29"/>
    <x v="16"/>
    <x v="16"/>
    <x v="16"/>
    <x v="16"/>
    <x v="18"/>
    <x v="145"/>
    <x v="109"/>
    <x v="126"/>
    <x v="54"/>
    <x v="190"/>
    <x v="290"/>
    <x v="5"/>
    <x v="5"/>
  </r>
  <r>
    <x v="29"/>
    <x v="0"/>
    <x v="0"/>
    <x v="2"/>
    <x v="29"/>
    <x v="29"/>
    <x v="21"/>
    <x v="21"/>
    <x v="21"/>
    <x v="21"/>
    <x v="19"/>
    <x v="123"/>
    <x v="399"/>
    <x v="71"/>
    <x v="282"/>
    <x v="190"/>
    <x v="290"/>
    <x v="5"/>
    <x v="5"/>
  </r>
  <r>
    <x v="30"/>
    <x v="0"/>
    <x v="0"/>
    <x v="2"/>
    <x v="30"/>
    <x v="30"/>
    <x v="1"/>
    <x v="1"/>
    <x v="1"/>
    <x v="1"/>
    <x v="0"/>
    <x v="310"/>
    <x v="400"/>
    <x v="220"/>
    <x v="392"/>
    <x v="161"/>
    <x v="373"/>
    <x v="5"/>
    <x v="5"/>
  </r>
  <r>
    <x v="30"/>
    <x v="0"/>
    <x v="0"/>
    <x v="2"/>
    <x v="30"/>
    <x v="30"/>
    <x v="2"/>
    <x v="2"/>
    <x v="2"/>
    <x v="2"/>
    <x v="1"/>
    <x v="300"/>
    <x v="401"/>
    <x v="221"/>
    <x v="393"/>
    <x v="125"/>
    <x v="256"/>
    <x v="5"/>
    <x v="5"/>
  </r>
  <r>
    <x v="30"/>
    <x v="0"/>
    <x v="0"/>
    <x v="2"/>
    <x v="30"/>
    <x v="30"/>
    <x v="0"/>
    <x v="0"/>
    <x v="0"/>
    <x v="0"/>
    <x v="2"/>
    <x v="79"/>
    <x v="402"/>
    <x v="202"/>
    <x v="394"/>
    <x v="252"/>
    <x v="350"/>
    <x v="4"/>
    <x v="37"/>
  </r>
  <r>
    <x v="30"/>
    <x v="0"/>
    <x v="0"/>
    <x v="2"/>
    <x v="30"/>
    <x v="30"/>
    <x v="5"/>
    <x v="5"/>
    <x v="5"/>
    <x v="5"/>
    <x v="3"/>
    <x v="311"/>
    <x v="403"/>
    <x v="222"/>
    <x v="395"/>
    <x v="253"/>
    <x v="395"/>
    <x v="5"/>
    <x v="5"/>
  </r>
  <r>
    <x v="30"/>
    <x v="0"/>
    <x v="0"/>
    <x v="2"/>
    <x v="30"/>
    <x v="30"/>
    <x v="4"/>
    <x v="4"/>
    <x v="4"/>
    <x v="4"/>
    <x v="4"/>
    <x v="185"/>
    <x v="404"/>
    <x v="80"/>
    <x v="396"/>
    <x v="254"/>
    <x v="396"/>
    <x v="5"/>
    <x v="5"/>
  </r>
  <r>
    <x v="30"/>
    <x v="0"/>
    <x v="0"/>
    <x v="2"/>
    <x v="30"/>
    <x v="30"/>
    <x v="3"/>
    <x v="3"/>
    <x v="3"/>
    <x v="3"/>
    <x v="5"/>
    <x v="312"/>
    <x v="244"/>
    <x v="223"/>
    <x v="302"/>
    <x v="255"/>
    <x v="124"/>
    <x v="5"/>
    <x v="5"/>
  </r>
  <r>
    <x v="30"/>
    <x v="0"/>
    <x v="0"/>
    <x v="2"/>
    <x v="30"/>
    <x v="30"/>
    <x v="8"/>
    <x v="8"/>
    <x v="8"/>
    <x v="8"/>
    <x v="6"/>
    <x v="313"/>
    <x v="405"/>
    <x v="72"/>
    <x v="397"/>
    <x v="65"/>
    <x v="397"/>
    <x v="5"/>
    <x v="5"/>
  </r>
  <r>
    <x v="30"/>
    <x v="0"/>
    <x v="0"/>
    <x v="2"/>
    <x v="30"/>
    <x v="30"/>
    <x v="9"/>
    <x v="9"/>
    <x v="9"/>
    <x v="9"/>
    <x v="7"/>
    <x v="82"/>
    <x v="321"/>
    <x v="43"/>
    <x v="398"/>
    <x v="99"/>
    <x v="259"/>
    <x v="8"/>
    <x v="38"/>
  </r>
  <r>
    <x v="30"/>
    <x v="0"/>
    <x v="0"/>
    <x v="2"/>
    <x v="30"/>
    <x v="30"/>
    <x v="7"/>
    <x v="7"/>
    <x v="7"/>
    <x v="7"/>
    <x v="8"/>
    <x v="101"/>
    <x v="184"/>
    <x v="224"/>
    <x v="399"/>
    <x v="140"/>
    <x v="398"/>
    <x v="5"/>
    <x v="5"/>
  </r>
  <r>
    <x v="30"/>
    <x v="0"/>
    <x v="0"/>
    <x v="2"/>
    <x v="30"/>
    <x v="30"/>
    <x v="6"/>
    <x v="6"/>
    <x v="6"/>
    <x v="6"/>
    <x v="9"/>
    <x v="103"/>
    <x v="406"/>
    <x v="68"/>
    <x v="400"/>
    <x v="144"/>
    <x v="399"/>
    <x v="8"/>
    <x v="38"/>
  </r>
  <r>
    <x v="30"/>
    <x v="0"/>
    <x v="0"/>
    <x v="2"/>
    <x v="30"/>
    <x v="30"/>
    <x v="19"/>
    <x v="19"/>
    <x v="19"/>
    <x v="19"/>
    <x v="10"/>
    <x v="227"/>
    <x v="407"/>
    <x v="49"/>
    <x v="55"/>
    <x v="129"/>
    <x v="400"/>
    <x v="5"/>
    <x v="5"/>
  </r>
  <r>
    <x v="30"/>
    <x v="0"/>
    <x v="0"/>
    <x v="2"/>
    <x v="30"/>
    <x v="30"/>
    <x v="12"/>
    <x v="12"/>
    <x v="12"/>
    <x v="12"/>
    <x v="10"/>
    <x v="227"/>
    <x v="407"/>
    <x v="50"/>
    <x v="401"/>
    <x v="161"/>
    <x v="373"/>
    <x v="5"/>
    <x v="5"/>
  </r>
  <r>
    <x v="30"/>
    <x v="0"/>
    <x v="0"/>
    <x v="2"/>
    <x v="30"/>
    <x v="30"/>
    <x v="13"/>
    <x v="13"/>
    <x v="13"/>
    <x v="13"/>
    <x v="10"/>
    <x v="227"/>
    <x v="407"/>
    <x v="106"/>
    <x v="191"/>
    <x v="40"/>
    <x v="33"/>
    <x v="5"/>
    <x v="5"/>
  </r>
  <r>
    <x v="30"/>
    <x v="0"/>
    <x v="0"/>
    <x v="2"/>
    <x v="30"/>
    <x v="30"/>
    <x v="10"/>
    <x v="10"/>
    <x v="10"/>
    <x v="10"/>
    <x v="13"/>
    <x v="267"/>
    <x v="121"/>
    <x v="33"/>
    <x v="402"/>
    <x v="132"/>
    <x v="7"/>
    <x v="5"/>
    <x v="5"/>
  </r>
  <r>
    <x v="30"/>
    <x v="0"/>
    <x v="0"/>
    <x v="2"/>
    <x v="30"/>
    <x v="30"/>
    <x v="14"/>
    <x v="14"/>
    <x v="14"/>
    <x v="14"/>
    <x v="14"/>
    <x v="143"/>
    <x v="33"/>
    <x v="57"/>
    <x v="151"/>
    <x v="155"/>
    <x v="401"/>
    <x v="5"/>
    <x v="5"/>
  </r>
  <r>
    <x v="30"/>
    <x v="0"/>
    <x v="0"/>
    <x v="2"/>
    <x v="30"/>
    <x v="30"/>
    <x v="15"/>
    <x v="15"/>
    <x v="15"/>
    <x v="15"/>
    <x v="15"/>
    <x v="177"/>
    <x v="370"/>
    <x v="49"/>
    <x v="55"/>
    <x v="61"/>
    <x v="329"/>
    <x v="5"/>
    <x v="5"/>
  </r>
  <r>
    <x v="30"/>
    <x v="0"/>
    <x v="0"/>
    <x v="2"/>
    <x v="30"/>
    <x v="30"/>
    <x v="21"/>
    <x v="21"/>
    <x v="21"/>
    <x v="21"/>
    <x v="16"/>
    <x v="55"/>
    <x v="92"/>
    <x v="53"/>
    <x v="8"/>
    <x v="89"/>
    <x v="34"/>
    <x v="5"/>
    <x v="5"/>
  </r>
  <r>
    <x v="30"/>
    <x v="0"/>
    <x v="0"/>
    <x v="2"/>
    <x v="30"/>
    <x v="30"/>
    <x v="11"/>
    <x v="11"/>
    <x v="11"/>
    <x v="11"/>
    <x v="17"/>
    <x v="131"/>
    <x v="74"/>
    <x v="107"/>
    <x v="319"/>
    <x v="146"/>
    <x v="381"/>
    <x v="5"/>
    <x v="5"/>
  </r>
  <r>
    <x v="30"/>
    <x v="0"/>
    <x v="0"/>
    <x v="2"/>
    <x v="30"/>
    <x v="30"/>
    <x v="23"/>
    <x v="23"/>
    <x v="23"/>
    <x v="23"/>
    <x v="18"/>
    <x v="120"/>
    <x v="408"/>
    <x v="56"/>
    <x v="103"/>
    <x v="109"/>
    <x v="402"/>
    <x v="5"/>
    <x v="5"/>
  </r>
  <r>
    <x v="30"/>
    <x v="0"/>
    <x v="0"/>
    <x v="2"/>
    <x v="30"/>
    <x v="30"/>
    <x v="32"/>
    <x v="32"/>
    <x v="32"/>
    <x v="32"/>
    <x v="19"/>
    <x v="132"/>
    <x v="57"/>
    <x v="35"/>
    <x v="301"/>
    <x v="118"/>
    <x v="154"/>
    <x v="5"/>
    <x v="5"/>
  </r>
  <r>
    <x v="31"/>
    <x v="0"/>
    <x v="0"/>
    <x v="2"/>
    <x v="31"/>
    <x v="31"/>
    <x v="0"/>
    <x v="0"/>
    <x v="0"/>
    <x v="0"/>
    <x v="0"/>
    <x v="314"/>
    <x v="409"/>
    <x v="225"/>
    <x v="403"/>
    <x v="235"/>
    <x v="403"/>
    <x v="5"/>
    <x v="5"/>
  </r>
  <r>
    <x v="31"/>
    <x v="0"/>
    <x v="0"/>
    <x v="2"/>
    <x v="31"/>
    <x v="31"/>
    <x v="2"/>
    <x v="2"/>
    <x v="2"/>
    <x v="2"/>
    <x v="1"/>
    <x v="315"/>
    <x v="410"/>
    <x v="226"/>
    <x v="404"/>
    <x v="175"/>
    <x v="22"/>
    <x v="5"/>
    <x v="5"/>
  </r>
  <r>
    <x v="31"/>
    <x v="0"/>
    <x v="0"/>
    <x v="2"/>
    <x v="31"/>
    <x v="31"/>
    <x v="1"/>
    <x v="1"/>
    <x v="1"/>
    <x v="1"/>
    <x v="2"/>
    <x v="316"/>
    <x v="411"/>
    <x v="227"/>
    <x v="405"/>
    <x v="52"/>
    <x v="404"/>
    <x v="5"/>
    <x v="5"/>
  </r>
  <r>
    <x v="31"/>
    <x v="0"/>
    <x v="0"/>
    <x v="2"/>
    <x v="31"/>
    <x v="31"/>
    <x v="5"/>
    <x v="5"/>
    <x v="5"/>
    <x v="5"/>
    <x v="3"/>
    <x v="317"/>
    <x v="44"/>
    <x v="207"/>
    <x v="406"/>
    <x v="168"/>
    <x v="405"/>
    <x v="5"/>
    <x v="5"/>
  </r>
  <r>
    <x v="31"/>
    <x v="0"/>
    <x v="0"/>
    <x v="2"/>
    <x v="31"/>
    <x v="31"/>
    <x v="3"/>
    <x v="3"/>
    <x v="3"/>
    <x v="3"/>
    <x v="4"/>
    <x v="46"/>
    <x v="412"/>
    <x v="64"/>
    <x v="407"/>
    <x v="63"/>
    <x v="169"/>
    <x v="5"/>
    <x v="5"/>
  </r>
  <r>
    <x v="31"/>
    <x v="0"/>
    <x v="0"/>
    <x v="2"/>
    <x v="31"/>
    <x v="31"/>
    <x v="4"/>
    <x v="4"/>
    <x v="4"/>
    <x v="4"/>
    <x v="5"/>
    <x v="318"/>
    <x v="227"/>
    <x v="138"/>
    <x v="199"/>
    <x v="232"/>
    <x v="406"/>
    <x v="5"/>
    <x v="5"/>
  </r>
  <r>
    <x v="31"/>
    <x v="0"/>
    <x v="0"/>
    <x v="2"/>
    <x v="31"/>
    <x v="31"/>
    <x v="9"/>
    <x v="9"/>
    <x v="9"/>
    <x v="9"/>
    <x v="6"/>
    <x v="319"/>
    <x v="228"/>
    <x v="228"/>
    <x v="362"/>
    <x v="124"/>
    <x v="126"/>
    <x v="8"/>
    <x v="27"/>
  </r>
  <r>
    <x v="31"/>
    <x v="0"/>
    <x v="0"/>
    <x v="2"/>
    <x v="31"/>
    <x v="31"/>
    <x v="7"/>
    <x v="7"/>
    <x v="7"/>
    <x v="7"/>
    <x v="7"/>
    <x v="233"/>
    <x v="413"/>
    <x v="229"/>
    <x v="130"/>
    <x v="119"/>
    <x v="407"/>
    <x v="5"/>
    <x v="5"/>
  </r>
  <r>
    <x v="31"/>
    <x v="0"/>
    <x v="0"/>
    <x v="2"/>
    <x v="31"/>
    <x v="31"/>
    <x v="8"/>
    <x v="8"/>
    <x v="8"/>
    <x v="8"/>
    <x v="8"/>
    <x v="209"/>
    <x v="414"/>
    <x v="72"/>
    <x v="330"/>
    <x v="256"/>
    <x v="408"/>
    <x v="5"/>
    <x v="5"/>
  </r>
  <r>
    <x v="31"/>
    <x v="0"/>
    <x v="0"/>
    <x v="2"/>
    <x v="31"/>
    <x v="31"/>
    <x v="6"/>
    <x v="6"/>
    <x v="6"/>
    <x v="6"/>
    <x v="9"/>
    <x v="320"/>
    <x v="67"/>
    <x v="38"/>
    <x v="379"/>
    <x v="53"/>
    <x v="347"/>
    <x v="5"/>
    <x v="5"/>
  </r>
  <r>
    <x v="31"/>
    <x v="0"/>
    <x v="0"/>
    <x v="2"/>
    <x v="31"/>
    <x v="31"/>
    <x v="10"/>
    <x v="10"/>
    <x v="10"/>
    <x v="10"/>
    <x v="10"/>
    <x v="227"/>
    <x v="231"/>
    <x v="230"/>
    <x v="408"/>
    <x v="75"/>
    <x v="356"/>
    <x v="5"/>
    <x v="5"/>
  </r>
  <r>
    <x v="31"/>
    <x v="0"/>
    <x v="0"/>
    <x v="2"/>
    <x v="31"/>
    <x v="31"/>
    <x v="14"/>
    <x v="14"/>
    <x v="14"/>
    <x v="14"/>
    <x v="11"/>
    <x v="267"/>
    <x v="407"/>
    <x v="126"/>
    <x v="36"/>
    <x v="237"/>
    <x v="409"/>
    <x v="5"/>
    <x v="5"/>
  </r>
  <r>
    <x v="31"/>
    <x v="0"/>
    <x v="0"/>
    <x v="2"/>
    <x v="31"/>
    <x v="31"/>
    <x v="13"/>
    <x v="13"/>
    <x v="13"/>
    <x v="13"/>
    <x v="12"/>
    <x v="154"/>
    <x v="246"/>
    <x v="161"/>
    <x v="274"/>
    <x v="66"/>
    <x v="107"/>
    <x v="5"/>
    <x v="5"/>
  </r>
  <r>
    <x v="31"/>
    <x v="0"/>
    <x v="0"/>
    <x v="2"/>
    <x v="31"/>
    <x v="31"/>
    <x v="11"/>
    <x v="11"/>
    <x v="11"/>
    <x v="11"/>
    <x v="13"/>
    <x v="84"/>
    <x v="152"/>
    <x v="160"/>
    <x v="163"/>
    <x v="69"/>
    <x v="248"/>
    <x v="5"/>
    <x v="5"/>
  </r>
  <r>
    <x v="31"/>
    <x v="0"/>
    <x v="0"/>
    <x v="2"/>
    <x v="31"/>
    <x v="31"/>
    <x v="12"/>
    <x v="12"/>
    <x v="12"/>
    <x v="12"/>
    <x v="14"/>
    <x v="321"/>
    <x v="139"/>
    <x v="161"/>
    <x v="274"/>
    <x v="58"/>
    <x v="410"/>
    <x v="5"/>
    <x v="5"/>
  </r>
  <r>
    <x v="31"/>
    <x v="0"/>
    <x v="0"/>
    <x v="2"/>
    <x v="31"/>
    <x v="31"/>
    <x v="16"/>
    <x v="16"/>
    <x v="16"/>
    <x v="16"/>
    <x v="15"/>
    <x v="133"/>
    <x v="415"/>
    <x v="97"/>
    <x v="19"/>
    <x v="257"/>
    <x v="288"/>
    <x v="5"/>
    <x v="5"/>
  </r>
  <r>
    <x v="31"/>
    <x v="0"/>
    <x v="0"/>
    <x v="2"/>
    <x v="31"/>
    <x v="31"/>
    <x v="17"/>
    <x v="17"/>
    <x v="17"/>
    <x v="17"/>
    <x v="15"/>
    <x v="133"/>
    <x v="415"/>
    <x v="132"/>
    <x v="47"/>
    <x v="145"/>
    <x v="154"/>
    <x v="8"/>
    <x v="27"/>
  </r>
  <r>
    <x v="31"/>
    <x v="0"/>
    <x v="0"/>
    <x v="2"/>
    <x v="31"/>
    <x v="31"/>
    <x v="20"/>
    <x v="20"/>
    <x v="20"/>
    <x v="20"/>
    <x v="17"/>
    <x v="219"/>
    <x v="191"/>
    <x v="93"/>
    <x v="409"/>
    <x v="88"/>
    <x v="36"/>
    <x v="5"/>
    <x v="5"/>
  </r>
  <r>
    <x v="31"/>
    <x v="0"/>
    <x v="0"/>
    <x v="2"/>
    <x v="31"/>
    <x v="31"/>
    <x v="23"/>
    <x v="23"/>
    <x v="23"/>
    <x v="23"/>
    <x v="18"/>
    <x v="58"/>
    <x v="142"/>
    <x v="71"/>
    <x v="335"/>
    <x v="88"/>
    <x v="36"/>
    <x v="8"/>
    <x v="27"/>
  </r>
  <r>
    <x v="31"/>
    <x v="0"/>
    <x v="0"/>
    <x v="2"/>
    <x v="31"/>
    <x v="31"/>
    <x v="24"/>
    <x v="24"/>
    <x v="24"/>
    <x v="24"/>
    <x v="19"/>
    <x v="145"/>
    <x v="416"/>
    <x v="79"/>
    <x v="35"/>
    <x v="146"/>
    <x v="260"/>
    <x v="5"/>
    <x v="5"/>
  </r>
  <r>
    <x v="32"/>
    <x v="0"/>
    <x v="0"/>
    <x v="3"/>
    <x v="32"/>
    <x v="32"/>
    <x v="1"/>
    <x v="1"/>
    <x v="1"/>
    <x v="1"/>
    <x v="0"/>
    <x v="322"/>
    <x v="417"/>
    <x v="231"/>
    <x v="410"/>
    <x v="105"/>
    <x v="97"/>
    <x v="5"/>
    <x v="5"/>
  </r>
  <r>
    <x v="32"/>
    <x v="0"/>
    <x v="0"/>
    <x v="3"/>
    <x v="32"/>
    <x v="32"/>
    <x v="2"/>
    <x v="2"/>
    <x v="2"/>
    <x v="2"/>
    <x v="1"/>
    <x v="323"/>
    <x v="418"/>
    <x v="232"/>
    <x v="411"/>
    <x v="65"/>
    <x v="242"/>
    <x v="5"/>
    <x v="5"/>
  </r>
  <r>
    <x v="32"/>
    <x v="0"/>
    <x v="0"/>
    <x v="3"/>
    <x v="32"/>
    <x v="32"/>
    <x v="0"/>
    <x v="0"/>
    <x v="0"/>
    <x v="0"/>
    <x v="2"/>
    <x v="324"/>
    <x v="419"/>
    <x v="233"/>
    <x v="280"/>
    <x v="60"/>
    <x v="411"/>
    <x v="5"/>
    <x v="5"/>
  </r>
  <r>
    <x v="32"/>
    <x v="0"/>
    <x v="0"/>
    <x v="3"/>
    <x v="32"/>
    <x v="32"/>
    <x v="3"/>
    <x v="3"/>
    <x v="3"/>
    <x v="3"/>
    <x v="3"/>
    <x v="325"/>
    <x v="420"/>
    <x v="99"/>
    <x v="412"/>
    <x v="196"/>
    <x v="412"/>
    <x v="5"/>
    <x v="5"/>
  </r>
  <r>
    <x v="32"/>
    <x v="0"/>
    <x v="0"/>
    <x v="3"/>
    <x v="32"/>
    <x v="32"/>
    <x v="4"/>
    <x v="4"/>
    <x v="4"/>
    <x v="4"/>
    <x v="4"/>
    <x v="326"/>
    <x v="421"/>
    <x v="89"/>
    <x v="4"/>
    <x v="258"/>
    <x v="197"/>
    <x v="5"/>
    <x v="5"/>
  </r>
  <r>
    <x v="32"/>
    <x v="0"/>
    <x v="0"/>
    <x v="3"/>
    <x v="32"/>
    <x v="32"/>
    <x v="6"/>
    <x v="6"/>
    <x v="6"/>
    <x v="6"/>
    <x v="5"/>
    <x v="327"/>
    <x v="147"/>
    <x v="170"/>
    <x v="169"/>
    <x v="259"/>
    <x v="23"/>
    <x v="8"/>
    <x v="16"/>
  </r>
  <r>
    <x v="32"/>
    <x v="0"/>
    <x v="0"/>
    <x v="3"/>
    <x v="32"/>
    <x v="32"/>
    <x v="5"/>
    <x v="5"/>
    <x v="5"/>
    <x v="5"/>
    <x v="6"/>
    <x v="328"/>
    <x v="227"/>
    <x v="224"/>
    <x v="413"/>
    <x v="44"/>
    <x v="413"/>
    <x v="5"/>
    <x v="5"/>
  </r>
  <r>
    <x v="32"/>
    <x v="0"/>
    <x v="0"/>
    <x v="3"/>
    <x v="32"/>
    <x v="32"/>
    <x v="7"/>
    <x v="7"/>
    <x v="7"/>
    <x v="7"/>
    <x v="7"/>
    <x v="110"/>
    <x v="422"/>
    <x v="234"/>
    <x v="414"/>
    <x v="75"/>
    <x v="414"/>
    <x v="5"/>
    <x v="5"/>
  </r>
  <r>
    <x v="32"/>
    <x v="0"/>
    <x v="0"/>
    <x v="3"/>
    <x v="32"/>
    <x v="32"/>
    <x v="8"/>
    <x v="8"/>
    <x v="8"/>
    <x v="8"/>
    <x v="8"/>
    <x v="329"/>
    <x v="423"/>
    <x v="80"/>
    <x v="415"/>
    <x v="42"/>
    <x v="415"/>
    <x v="8"/>
    <x v="16"/>
  </r>
  <r>
    <x v="32"/>
    <x v="0"/>
    <x v="0"/>
    <x v="3"/>
    <x v="32"/>
    <x v="32"/>
    <x v="9"/>
    <x v="9"/>
    <x v="9"/>
    <x v="9"/>
    <x v="9"/>
    <x v="237"/>
    <x v="424"/>
    <x v="217"/>
    <x v="416"/>
    <x v="157"/>
    <x v="38"/>
    <x v="4"/>
    <x v="27"/>
  </r>
  <r>
    <x v="32"/>
    <x v="0"/>
    <x v="0"/>
    <x v="3"/>
    <x v="32"/>
    <x v="32"/>
    <x v="11"/>
    <x v="11"/>
    <x v="11"/>
    <x v="11"/>
    <x v="10"/>
    <x v="233"/>
    <x v="425"/>
    <x v="235"/>
    <x v="276"/>
    <x v="255"/>
    <x v="233"/>
    <x v="5"/>
    <x v="5"/>
  </r>
  <r>
    <x v="32"/>
    <x v="0"/>
    <x v="0"/>
    <x v="3"/>
    <x v="32"/>
    <x v="32"/>
    <x v="12"/>
    <x v="12"/>
    <x v="12"/>
    <x v="12"/>
    <x v="11"/>
    <x v="330"/>
    <x v="202"/>
    <x v="222"/>
    <x v="272"/>
    <x v="255"/>
    <x v="233"/>
    <x v="5"/>
    <x v="5"/>
  </r>
  <r>
    <x v="32"/>
    <x v="0"/>
    <x v="0"/>
    <x v="3"/>
    <x v="32"/>
    <x v="32"/>
    <x v="10"/>
    <x v="10"/>
    <x v="10"/>
    <x v="10"/>
    <x v="12"/>
    <x v="331"/>
    <x v="371"/>
    <x v="223"/>
    <x v="417"/>
    <x v="59"/>
    <x v="270"/>
    <x v="8"/>
    <x v="16"/>
  </r>
  <r>
    <x v="32"/>
    <x v="0"/>
    <x v="0"/>
    <x v="3"/>
    <x v="32"/>
    <x v="32"/>
    <x v="13"/>
    <x v="13"/>
    <x v="13"/>
    <x v="13"/>
    <x v="13"/>
    <x v="235"/>
    <x v="273"/>
    <x v="138"/>
    <x v="317"/>
    <x v="86"/>
    <x v="68"/>
    <x v="5"/>
    <x v="5"/>
  </r>
  <r>
    <x v="32"/>
    <x v="0"/>
    <x v="0"/>
    <x v="3"/>
    <x v="32"/>
    <x v="32"/>
    <x v="14"/>
    <x v="14"/>
    <x v="14"/>
    <x v="14"/>
    <x v="14"/>
    <x v="152"/>
    <x v="426"/>
    <x v="83"/>
    <x v="418"/>
    <x v="237"/>
    <x v="284"/>
    <x v="5"/>
    <x v="5"/>
  </r>
  <r>
    <x v="32"/>
    <x v="0"/>
    <x v="0"/>
    <x v="3"/>
    <x v="32"/>
    <x v="32"/>
    <x v="17"/>
    <x v="17"/>
    <x v="17"/>
    <x v="17"/>
    <x v="15"/>
    <x v="130"/>
    <x v="76"/>
    <x v="160"/>
    <x v="419"/>
    <x v="257"/>
    <x v="139"/>
    <x v="5"/>
    <x v="5"/>
  </r>
  <r>
    <x v="32"/>
    <x v="0"/>
    <x v="0"/>
    <x v="3"/>
    <x v="32"/>
    <x v="32"/>
    <x v="23"/>
    <x v="23"/>
    <x v="23"/>
    <x v="23"/>
    <x v="16"/>
    <x v="269"/>
    <x v="127"/>
    <x v="57"/>
    <x v="16"/>
    <x v="161"/>
    <x v="54"/>
    <x v="4"/>
    <x v="27"/>
  </r>
  <r>
    <x v="32"/>
    <x v="0"/>
    <x v="0"/>
    <x v="3"/>
    <x v="32"/>
    <x v="32"/>
    <x v="31"/>
    <x v="31"/>
    <x v="31"/>
    <x v="31"/>
    <x v="17"/>
    <x v="54"/>
    <x v="373"/>
    <x v="173"/>
    <x v="248"/>
    <x v="146"/>
    <x v="7"/>
    <x v="5"/>
    <x v="5"/>
  </r>
  <r>
    <x v="32"/>
    <x v="0"/>
    <x v="0"/>
    <x v="3"/>
    <x v="32"/>
    <x v="32"/>
    <x v="35"/>
    <x v="35"/>
    <x v="35"/>
    <x v="35"/>
    <x v="18"/>
    <x v="285"/>
    <x v="427"/>
    <x v="49"/>
    <x v="33"/>
    <x v="144"/>
    <x v="281"/>
    <x v="5"/>
    <x v="5"/>
  </r>
  <r>
    <x v="32"/>
    <x v="0"/>
    <x v="0"/>
    <x v="3"/>
    <x v="32"/>
    <x v="32"/>
    <x v="29"/>
    <x v="29"/>
    <x v="29"/>
    <x v="29"/>
    <x v="19"/>
    <x v="133"/>
    <x v="428"/>
    <x v="49"/>
    <x v="33"/>
    <x v="78"/>
    <x v="137"/>
    <x v="5"/>
    <x v="5"/>
  </r>
  <r>
    <x v="33"/>
    <x v="0"/>
    <x v="0"/>
    <x v="3"/>
    <x v="33"/>
    <x v="33"/>
    <x v="0"/>
    <x v="0"/>
    <x v="0"/>
    <x v="0"/>
    <x v="0"/>
    <x v="332"/>
    <x v="429"/>
    <x v="233"/>
    <x v="420"/>
    <x v="260"/>
    <x v="416"/>
    <x v="8"/>
    <x v="30"/>
  </r>
  <r>
    <x v="33"/>
    <x v="0"/>
    <x v="0"/>
    <x v="3"/>
    <x v="33"/>
    <x v="33"/>
    <x v="1"/>
    <x v="1"/>
    <x v="1"/>
    <x v="1"/>
    <x v="1"/>
    <x v="333"/>
    <x v="430"/>
    <x v="236"/>
    <x v="421"/>
    <x v="148"/>
    <x v="6"/>
    <x v="8"/>
    <x v="30"/>
  </r>
  <r>
    <x v="33"/>
    <x v="0"/>
    <x v="0"/>
    <x v="3"/>
    <x v="33"/>
    <x v="33"/>
    <x v="2"/>
    <x v="2"/>
    <x v="2"/>
    <x v="2"/>
    <x v="2"/>
    <x v="300"/>
    <x v="431"/>
    <x v="237"/>
    <x v="422"/>
    <x v="40"/>
    <x v="271"/>
    <x v="5"/>
    <x v="5"/>
  </r>
  <r>
    <x v="33"/>
    <x v="0"/>
    <x v="0"/>
    <x v="3"/>
    <x v="33"/>
    <x v="33"/>
    <x v="3"/>
    <x v="3"/>
    <x v="3"/>
    <x v="3"/>
    <x v="3"/>
    <x v="334"/>
    <x v="432"/>
    <x v="238"/>
    <x v="423"/>
    <x v="168"/>
    <x v="417"/>
    <x v="5"/>
    <x v="5"/>
  </r>
  <r>
    <x v="33"/>
    <x v="0"/>
    <x v="0"/>
    <x v="3"/>
    <x v="33"/>
    <x v="33"/>
    <x v="4"/>
    <x v="4"/>
    <x v="4"/>
    <x v="4"/>
    <x v="4"/>
    <x v="335"/>
    <x v="280"/>
    <x v="80"/>
    <x v="374"/>
    <x v="44"/>
    <x v="418"/>
    <x v="5"/>
    <x v="5"/>
  </r>
  <r>
    <x v="33"/>
    <x v="0"/>
    <x v="0"/>
    <x v="3"/>
    <x v="33"/>
    <x v="33"/>
    <x v="6"/>
    <x v="6"/>
    <x v="6"/>
    <x v="6"/>
    <x v="5"/>
    <x v="336"/>
    <x v="433"/>
    <x v="239"/>
    <x v="424"/>
    <x v="71"/>
    <x v="308"/>
    <x v="8"/>
    <x v="30"/>
  </r>
  <r>
    <x v="33"/>
    <x v="0"/>
    <x v="0"/>
    <x v="3"/>
    <x v="33"/>
    <x v="33"/>
    <x v="5"/>
    <x v="5"/>
    <x v="5"/>
    <x v="5"/>
    <x v="6"/>
    <x v="195"/>
    <x v="229"/>
    <x v="169"/>
    <x v="306"/>
    <x v="261"/>
    <x v="419"/>
    <x v="5"/>
    <x v="5"/>
  </r>
  <r>
    <x v="33"/>
    <x v="0"/>
    <x v="0"/>
    <x v="3"/>
    <x v="33"/>
    <x v="33"/>
    <x v="8"/>
    <x v="8"/>
    <x v="8"/>
    <x v="8"/>
    <x v="7"/>
    <x v="337"/>
    <x v="434"/>
    <x v="75"/>
    <x v="425"/>
    <x v="262"/>
    <x v="420"/>
    <x v="5"/>
    <x v="5"/>
  </r>
  <r>
    <x v="33"/>
    <x v="0"/>
    <x v="0"/>
    <x v="3"/>
    <x v="33"/>
    <x v="33"/>
    <x v="9"/>
    <x v="9"/>
    <x v="9"/>
    <x v="9"/>
    <x v="8"/>
    <x v="330"/>
    <x v="435"/>
    <x v="240"/>
    <x v="426"/>
    <x v="142"/>
    <x v="157"/>
    <x v="4"/>
    <x v="39"/>
  </r>
  <r>
    <x v="33"/>
    <x v="0"/>
    <x v="0"/>
    <x v="3"/>
    <x v="33"/>
    <x v="33"/>
    <x v="12"/>
    <x v="12"/>
    <x v="12"/>
    <x v="12"/>
    <x v="9"/>
    <x v="127"/>
    <x v="173"/>
    <x v="207"/>
    <x v="427"/>
    <x v="72"/>
    <x v="114"/>
    <x v="5"/>
    <x v="5"/>
  </r>
  <r>
    <x v="33"/>
    <x v="0"/>
    <x v="0"/>
    <x v="3"/>
    <x v="33"/>
    <x v="33"/>
    <x v="7"/>
    <x v="7"/>
    <x v="7"/>
    <x v="7"/>
    <x v="10"/>
    <x v="65"/>
    <x v="436"/>
    <x v="241"/>
    <x v="428"/>
    <x v="167"/>
    <x v="421"/>
    <x v="5"/>
    <x v="5"/>
  </r>
  <r>
    <x v="33"/>
    <x v="0"/>
    <x v="0"/>
    <x v="3"/>
    <x v="33"/>
    <x v="33"/>
    <x v="11"/>
    <x v="11"/>
    <x v="11"/>
    <x v="11"/>
    <x v="11"/>
    <x v="102"/>
    <x v="437"/>
    <x v="129"/>
    <x v="429"/>
    <x v="108"/>
    <x v="422"/>
    <x v="5"/>
    <x v="5"/>
  </r>
  <r>
    <x v="33"/>
    <x v="0"/>
    <x v="0"/>
    <x v="3"/>
    <x v="33"/>
    <x v="33"/>
    <x v="10"/>
    <x v="10"/>
    <x v="10"/>
    <x v="10"/>
    <x v="12"/>
    <x v="143"/>
    <x v="397"/>
    <x v="122"/>
    <x v="237"/>
    <x v="146"/>
    <x v="137"/>
    <x v="5"/>
    <x v="5"/>
  </r>
  <r>
    <x v="33"/>
    <x v="0"/>
    <x v="0"/>
    <x v="3"/>
    <x v="33"/>
    <x v="33"/>
    <x v="14"/>
    <x v="14"/>
    <x v="14"/>
    <x v="14"/>
    <x v="13"/>
    <x v="190"/>
    <x v="273"/>
    <x v="108"/>
    <x v="289"/>
    <x v="226"/>
    <x v="373"/>
    <x v="5"/>
    <x v="5"/>
  </r>
  <r>
    <x v="33"/>
    <x v="0"/>
    <x v="0"/>
    <x v="3"/>
    <x v="33"/>
    <x v="33"/>
    <x v="13"/>
    <x v="13"/>
    <x v="13"/>
    <x v="13"/>
    <x v="14"/>
    <x v="130"/>
    <x v="55"/>
    <x v="69"/>
    <x v="273"/>
    <x v="58"/>
    <x v="54"/>
    <x v="5"/>
    <x v="5"/>
  </r>
  <r>
    <x v="33"/>
    <x v="0"/>
    <x v="0"/>
    <x v="3"/>
    <x v="33"/>
    <x v="33"/>
    <x v="21"/>
    <x v="21"/>
    <x v="21"/>
    <x v="21"/>
    <x v="15"/>
    <x v="73"/>
    <x v="235"/>
    <x v="94"/>
    <x v="304"/>
    <x v="106"/>
    <x v="203"/>
    <x v="5"/>
    <x v="5"/>
  </r>
  <r>
    <x v="33"/>
    <x v="0"/>
    <x v="0"/>
    <x v="3"/>
    <x v="33"/>
    <x v="33"/>
    <x v="19"/>
    <x v="19"/>
    <x v="19"/>
    <x v="19"/>
    <x v="16"/>
    <x v="156"/>
    <x v="75"/>
    <x v="82"/>
    <x v="122"/>
    <x v="106"/>
    <x v="203"/>
    <x v="5"/>
    <x v="5"/>
  </r>
  <r>
    <x v="33"/>
    <x v="0"/>
    <x v="0"/>
    <x v="3"/>
    <x v="33"/>
    <x v="33"/>
    <x v="32"/>
    <x v="32"/>
    <x v="32"/>
    <x v="32"/>
    <x v="16"/>
    <x v="156"/>
    <x v="75"/>
    <x v="132"/>
    <x v="183"/>
    <x v="138"/>
    <x v="235"/>
    <x v="5"/>
    <x v="5"/>
  </r>
  <r>
    <x v="33"/>
    <x v="0"/>
    <x v="0"/>
    <x v="3"/>
    <x v="33"/>
    <x v="33"/>
    <x v="16"/>
    <x v="16"/>
    <x v="16"/>
    <x v="16"/>
    <x v="18"/>
    <x v="133"/>
    <x v="127"/>
    <x v="57"/>
    <x v="102"/>
    <x v="91"/>
    <x v="143"/>
    <x v="5"/>
    <x v="5"/>
  </r>
  <r>
    <x v="33"/>
    <x v="0"/>
    <x v="0"/>
    <x v="3"/>
    <x v="33"/>
    <x v="33"/>
    <x v="20"/>
    <x v="20"/>
    <x v="20"/>
    <x v="20"/>
    <x v="19"/>
    <x v="180"/>
    <x v="154"/>
    <x v="83"/>
    <x v="247"/>
    <x v="92"/>
    <x v="130"/>
    <x v="5"/>
    <x v="5"/>
  </r>
  <r>
    <x v="34"/>
    <x v="0"/>
    <x v="0"/>
    <x v="3"/>
    <x v="34"/>
    <x v="34"/>
    <x v="1"/>
    <x v="1"/>
    <x v="1"/>
    <x v="1"/>
    <x v="0"/>
    <x v="338"/>
    <x v="438"/>
    <x v="242"/>
    <x v="430"/>
    <x v="237"/>
    <x v="376"/>
    <x v="5"/>
    <x v="5"/>
  </r>
  <r>
    <x v="34"/>
    <x v="0"/>
    <x v="0"/>
    <x v="3"/>
    <x v="34"/>
    <x v="34"/>
    <x v="0"/>
    <x v="0"/>
    <x v="0"/>
    <x v="0"/>
    <x v="1"/>
    <x v="339"/>
    <x v="439"/>
    <x v="243"/>
    <x v="431"/>
    <x v="263"/>
    <x v="423"/>
    <x v="5"/>
    <x v="5"/>
  </r>
  <r>
    <x v="34"/>
    <x v="0"/>
    <x v="0"/>
    <x v="3"/>
    <x v="34"/>
    <x v="34"/>
    <x v="3"/>
    <x v="3"/>
    <x v="3"/>
    <x v="3"/>
    <x v="2"/>
    <x v="340"/>
    <x v="440"/>
    <x v="244"/>
    <x v="432"/>
    <x v="264"/>
    <x v="98"/>
    <x v="5"/>
    <x v="5"/>
  </r>
  <r>
    <x v="34"/>
    <x v="0"/>
    <x v="0"/>
    <x v="3"/>
    <x v="34"/>
    <x v="34"/>
    <x v="2"/>
    <x v="2"/>
    <x v="2"/>
    <x v="2"/>
    <x v="3"/>
    <x v="78"/>
    <x v="441"/>
    <x v="245"/>
    <x v="433"/>
    <x v="56"/>
    <x v="424"/>
    <x v="5"/>
    <x v="5"/>
  </r>
  <r>
    <x v="34"/>
    <x v="0"/>
    <x v="0"/>
    <x v="3"/>
    <x v="34"/>
    <x v="34"/>
    <x v="6"/>
    <x v="6"/>
    <x v="6"/>
    <x v="6"/>
    <x v="4"/>
    <x v="341"/>
    <x v="442"/>
    <x v="246"/>
    <x v="361"/>
    <x v="158"/>
    <x v="425"/>
    <x v="5"/>
    <x v="5"/>
  </r>
  <r>
    <x v="34"/>
    <x v="0"/>
    <x v="0"/>
    <x v="3"/>
    <x v="34"/>
    <x v="34"/>
    <x v="11"/>
    <x v="11"/>
    <x v="11"/>
    <x v="11"/>
    <x v="5"/>
    <x v="342"/>
    <x v="443"/>
    <x v="247"/>
    <x v="434"/>
    <x v="134"/>
    <x v="132"/>
    <x v="5"/>
    <x v="5"/>
  </r>
  <r>
    <x v="34"/>
    <x v="0"/>
    <x v="0"/>
    <x v="3"/>
    <x v="34"/>
    <x v="34"/>
    <x v="9"/>
    <x v="9"/>
    <x v="9"/>
    <x v="9"/>
    <x v="6"/>
    <x v="330"/>
    <x v="244"/>
    <x v="238"/>
    <x v="435"/>
    <x v="126"/>
    <x v="75"/>
    <x v="5"/>
    <x v="5"/>
  </r>
  <r>
    <x v="34"/>
    <x v="0"/>
    <x v="0"/>
    <x v="3"/>
    <x v="34"/>
    <x v="34"/>
    <x v="10"/>
    <x v="10"/>
    <x v="10"/>
    <x v="10"/>
    <x v="7"/>
    <x v="343"/>
    <x v="444"/>
    <x v="131"/>
    <x v="436"/>
    <x v="229"/>
    <x v="167"/>
    <x v="4"/>
    <x v="20"/>
  </r>
  <r>
    <x v="34"/>
    <x v="0"/>
    <x v="0"/>
    <x v="3"/>
    <x v="34"/>
    <x v="34"/>
    <x v="7"/>
    <x v="7"/>
    <x v="7"/>
    <x v="7"/>
    <x v="8"/>
    <x v="188"/>
    <x v="424"/>
    <x v="238"/>
    <x v="435"/>
    <x v="131"/>
    <x v="426"/>
    <x v="5"/>
    <x v="5"/>
  </r>
  <r>
    <x v="34"/>
    <x v="0"/>
    <x v="0"/>
    <x v="3"/>
    <x v="34"/>
    <x v="34"/>
    <x v="4"/>
    <x v="4"/>
    <x v="4"/>
    <x v="4"/>
    <x v="9"/>
    <x v="344"/>
    <x v="9"/>
    <x v="35"/>
    <x v="437"/>
    <x v="103"/>
    <x v="199"/>
    <x v="5"/>
    <x v="5"/>
  </r>
  <r>
    <x v="34"/>
    <x v="0"/>
    <x v="0"/>
    <x v="3"/>
    <x v="34"/>
    <x v="34"/>
    <x v="5"/>
    <x v="5"/>
    <x v="5"/>
    <x v="5"/>
    <x v="10"/>
    <x v="288"/>
    <x v="445"/>
    <x v="200"/>
    <x v="438"/>
    <x v="74"/>
    <x v="308"/>
    <x v="5"/>
    <x v="5"/>
  </r>
  <r>
    <x v="34"/>
    <x v="0"/>
    <x v="0"/>
    <x v="3"/>
    <x v="34"/>
    <x v="34"/>
    <x v="8"/>
    <x v="8"/>
    <x v="8"/>
    <x v="8"/>
    <x v="11"/>
    <x v="117"/>
    <x v="446"/>
    <x v="108"/>
    <x v="44"/>
    <x v="58"/>
    <x v="427"/>
    <x v="8"/>
    <x v="27"/>
  </r>
  <r>
    <x v="34"/>
    <x v="0"/>
    <x v="0"/>
    <x v="3"/>
    <x v="34"/>
    <x v="34"/>
    <x v="13"/>
    <x v="13"/>
    <x v="13"/>
    <x v="13"/>
    <x v="12"/>
    <x v="131"/>
    <x v="447"/>
    <x v="106"/>
    <x v="47"/>
    <x v="49"/>
    <x v="93"/>
    <x v="5"/>
    <x v="5"/>
  </r>
  <r>
    <x v="34"/>
    <x v="0"/>
    <x v="0"/>
    <x v="3"/>
    <x v="34"/>
    <x v="34"/>
    <x v="14"/>
    <x v="14"/>
    <x v="14"/>
    <x v="14"/>
    <x v="13"/>
    <x v="132"/>
    <x v="448"/>
    <x v="57"/>
    <x v="151"/>
    <x v="52"/>
    <x v="428"/>
    <x v="5"/>
    <x v="5"/>
  </r>
  <r>
    <x v="34"/>
    <x v="0"/>
    <x v="0"/>
    <x v="3"/>
    <x v="34"/>
    <x v="34"/>
    <x v="12"/>
    <x v="12"/>
    <x v="12"/>
    <x v="12"/>
    <x v="14"/>
    <x v="290"/>
    <x v="449"/>
    <x v="81"/>
    <x v="439"/>
    <x v="146"/>
    <x v="163"/>
    <x v="5"/>
    <x v="5"/>
  </r>
  <r>
    <x v="34"/>
    <x v="0"/>
    <x v="0"/>
    <x v="3"/>
    <x v="34"/>
    <x v="34"/>
    <x v="18"/>
    <x v="18"/>
    <x v="18"/>
    <x v="18"/>
    <x v="15"/>
    <x v="122"/>
    <x v="109"/>
    <x v="83"/>
    <x v="177"/>
    <x v="73"/>
    <x v="399"/>
    <x v="5"/>
    <x v="5"/>
  </r>
  <r>
    <x v="34"/>
    <x v="0"/>
    <x v="0"/>
    <x v="3"/>
    <x v="34"/>
    <x v="34"/>
    <x v="17"/>
    <x v="17"/>
    <x v="17"/>
    <x v="17"/>
    <x v="16"/>
    <x v="214"/>
    <x v="17"/>
    <x v="44"/>
    <x v="196"/>
    <x v="133"/>
    <x v="370"/>
    <x v="5"/>
    <x v="5"/>
  </r>
  <r>
    <x v="34"/>
    <x v="0"/>
    <x v="0"/>
    <x v="3"/>
    <x v="34"/>
    <x v="34"/>
    <x v="20"/>
    <x v="20"/>
    <x v="20"/>
    <x v="20"/>
    <x v="17"/>
    <x v="182"/>
    <x v="416"/>
    <x v="71"/>
    <x v="295"/>
    <x v="123"/>
    <x v="193"/>
    <x v="5"/>
    <x v="5"/>
  </r>
  <r>
    <x v="34"/>
    <x v="0"/>
    <x v="0"/>
    <x v="3"/>
    <x v="34"/>
    <x v="34"/>
    <x v="33"/>
    <x v="33"/>
    <x v="33"/>
    <x v="33"/>
    <x v="18"/>
    <x v="345"/>
    <x v="428"/>
    <x v="82"/>
    <x v="440"/>
    <x v="137"/>
    <x v="17"/>
    <x v="5"/>
    <x v="5"/>
  </r>
  <r>
    <x v="34"/>
    <x v="0"/>
    <x v="0"/>
    <x v="3"/>
    <x v="34"/>
    <x v="34"/>
    <x v="24"/>
    <x v="24"/>
    <x v="24"/>
    <x v="24"/>
    <x v="19"/>
    <x v="146"/>
    <x v="450"/>
    <x v="56"/>
    <x v="103"/>
    <x v="133"/>
    <x v="370"/>
    <x v="8"/>
    <x v="27"/>
  </r>
  <r>
    <x v="35"/>
    <x v="0"/>
    <x v="0"/>
    <x v="3"/>
    <x v="35"/>
    <x v="35"/>
    <x v="1"/>
    <x v="1"/>
    <x v="1"/>
    <x v="1"/>
    <x v="0"/>
    <x v="346"/>
    <x v="451"/>
    <x v="8"/>
    <x v="441"/>
    <x v="188"/>
    <x v="429"/>
    <x v="5"/>
    <x v="5"/>
  </r>
  <r>
    <x v="35"/>
    <x v="0"/>
    <x v="0"/>
    <x v="3"/>
    <x v="35"/>
    <x v="35"/>
    <x v="0"/>
    <x v="0"/>
    <x v="0"/>
    <x v="0"/>
    <x v="1"/>
    <x v="347"/>
    <x v="374"/>
    <x v="248"/>
    <x v="442"/>
    <x v="265"/>
    <x v="430"/>
    <x v="2"/>
    <x v="40"/>
  </r>
  <r>
    <x v="35"/>
    <x v="0"/>
    <x v="0"/>
    <x v="3"/>
    <x v="35"/>
    <x v="35"/>
    <x v="2"/>
    <x v="2"/>
    <x v="2"/>
    <x v="2"/>
    <x v="2"/>
    <x v="348"/>
    <x v="452"/>
    <x v="249"/>
    <x v="443"/>
    <x v="222"/>
    <x v="324"/>
    <x v="5"/>
    <x v="5"/>
  </r>
  <r>
    <x v="35"/>
    <x v="0"/>
    <x v="0"/>
    <x v="3"/>
    <x v="35"/>
    <x v="35"/>
    <x v="3"/>
    <x v="3"/>
    <x v="3"/>
    <x v="3"/>
    <x v="3"/>
    <x v="349"/>
    <x v="453"/>
    <x v="250"/>
    <x v="444"/>
    <x v="266"/>
    <x v="431"/>
    <x v="5"/>
    <x v="5"/>
  </r>
  <r>
    <x v="35"/>
    <x v="0"/>
    <x v="0"/>
    <x v="3"/>
    <x v="35"/>
    <x v="35"/>
    <x v="4"/>
    <x v="4"/>
    <x v="4"/>
    <x v="4"/>
    <x v="4"/>
    <x v="350"/>
    <x v="45"/>
    <x v="78"/>
    <x v="445"/>
    <x v="267"/>
    <x v="432"/>
    <x v="5"/>
    <x v="5"/>
  </r>
  <r>
    <x v="35"/>
    <x v="0"/>
    <x v="0"/>
    <x v="3"/>
    <x v="35"/>
    <x v="35"/>
    <x v="6"/>
    <x v="6"/>
    <x v="6"/>
    <x v="6"/>
    <x v="5"/>
    <x v="351"/>
    <x v="243"/>
    <x v="228"/>
    <x v="446"/>
    <x v="249"/>
    <x v="433"/>
    <x v="5"/>
    <x v="5"/>
  </r>
  <r>
    <x v="35"/>
    <x v="0"/>
    <x v="0"/>
    <x v="3"/>
    <x v="35"/>
    <x v="35"/>
    <x v="7"/>
    <x v="7"/>
    <x v="7"/>
    <x v="7"/>
    <x v="6"/>
    <x v="352"/>
    <x v="454"/>
    <x v="251"/>
    <x v="447"/>
    <x v="138"/>
    <x v="201"/>
    <x v="8"/>
    <x v="24"/>
  </r>
  <r>
    <x v="35"/>
    <x v="0"/>
    <x v="0"/>
    <x v="3"/>
    <x v="35"/>
    <x v="35"/>
    <x v="9"/>
    <x v="9"/>
    <x v="9"/>
    <x v="9"/>
    <x v="7"/>
    <x v="353"/>
    <x v="321"/>
    <x v="252"/>
    <x v="145"/>
    <x v="80"/>
    <x v="434"/>
    <x v="8"/>
    <x v="24"/>
  </r>
  <r>
    <x v="35"/>
    <x v="0"/>
    <x v="0"/>
    <x v="3"/>
    <x v="35"/>
    <x v="35"/>
    <x v="5"/>
    <x v="5"/>
    <x v="5"/>
    <x v="5"/>
    <x v="8"/>
    <x v="354"/>
    <x v="258"/>
    <x v="218"/>
    <x v="448"/>
    <x v="268"/>
    <x v="435"/>
    <x v="5"/>
    <x v="5"/>
  </r>
  <r>
    <x v="35"/>
    <x v="0"/>
    <x v="0"/>
    <x v="3"/>
    <x v="35"/>
    <x v="35"/>
    <x v="8"/>
    <x v="8"/>
    <x v="8"/>
    <x v="8"/>
    <x v="9"/>
    <x v="355"/>
    <x v="378"/>
    <x v="72"/>
    <x v="200"/>
    <x v="269"/>
    <x v="339"/>
    <x v="5"/>
    <x v="5"/>
  </r>
  <r>
    <x v="35"/>
    <x v="0"/>
    <x v="0"/>
    <x v="3"/>
    <x v="35"/>
    <x v="35"/>
    <x v="12"/>
    <x v="12"/>
    <x v="12"/>
    <x v="12"/>
    <x v="10"/>
    <x v="356"/>
    <x v="151"/>
    <x v="154"/>
    <x v="25"/>
    <x v="165"/>
    <x v="246"/>
    <x v="5"/>
    <x v="5"/>
  </r>
  <r>
    <x v="35"/>
    <x v="0"/>
    <x v="0"/>
    <x v="3"/>
    <x v="35"/>
    <x v="35"/>
    <x v="11"/>
    <x v="11"/>
    <x v="11"/>
    <x v="11"/>
    <x v="11"/>
    <x v="201"/>
    <x v="165"/>
    <x v="222"/>
    <x v="429"/>
    <x v="148"/>
    <x v="436"/>
    <x v="5"/>
    <x v="5"/>
  </r>
  <r>
    <x v="35"/>
    <x v="0"/>
    <x v="0"/>
    <x v="3"/>
    <x v="35"/>
    <x v="35"/>
    <x v="10"/>
    <x v="10"/>
    <x v="10"/>
    <x v="10"/>
    <x v="12"/>
    <x v="287"/>
    <x v="260"/>
    <x v="130"/>
    <x v="449"/>
    <x v="69"/>
    <x v="437"/>
    <x v="5"/>
    <x v="5"/>
  </r>
  <r>
    <x v="35"/>
    <x v="0"/>
    <x v="0"/>
    <x v="3"/>
    <x v="35"/>
    <x v="35"/>
    <x v="13"/>
    <x v="13"/>
    <x v="13"/>
    <x v="13"/>
    <x v="13"/>
    <x v="49"/>
    <x v="50"/>
    <x v="113"/>
    <x v="149"/>
    <x v="141"/>
    <x v="143"/>
    <x v="5"/>
    <x v="5"/>
  </r>
  <r>
    <x v="35"/>
    <x v="0"/>
    <x v="0"/>
    <x v="3"/>
    <x v="35"/>
    <x v="35"/>
    <x v="14"/>
    <x v="14"/>
    <x v="14"/>
    <x v="14"/>
    <x v="14"/>
    <x v="234"/>
    <x v="204"/>
    <x v="97"/>
    <x v="80"/>
    <x v="166"/>
    <x v="367"/>
    <x v="5"/>
    <x v="5"/>
  </r>
  <r>
    <x v="35"/>
    <x v="0"/>
    <x v="0"/>
    <x v="3"/>
    <x v="35"/>
    <x v="35"/>
    <x v="15"/>
    <x v="15"/>
    <x v="15"/>
    <x v="15"/>
    <x v="15"/>
    <x v="155"/>
    <x v="39"/>
    <x v="93"/>
    <x v="122"/>
    <x v="227"/>
    <x v="399"/>
    <x v="5"/>
    <x v="5"/>
  </r>
  <r>
    <x v="35"/>
    <x v="0"/>
    <x v="0"/>
    <x v="3"/>
    <x v="35"/>
    <x v="35"/>
    <x v="23"/>
    <x v="23"/>
    <x v="23"/>
    <x v="23"/>
    <x v="16"/>
    <x v="88"/>
    <x v="222"/>
    <x v="125"/>
    <x v="334"/>
    <x v="161"/>
    <x v="380"/>
    <x v="5"/>
    <x v="5"/>
  </r>
  <r>
    <x v="35"/>
    <x v="0"/>
    <x v="0"/>
    <x v="3"/>
    <x v="35"/>
    <x v="35"/>
    <x v="17"/>
    <x v="17"/>
    <x v="17"/>
    <x v="17"/>
    <x v="17"/>
    <x v="117"/>
    <x v="127"/>
    <x v="69"/>
    <x v="146"/>
    <x v="92"/>
    <x v="369"/>
    <x v="5"/>
    <x v="5"/>
  </r>
  <r>
    <x v="35"/>
    <x v="0"/>
    <x v="0"/>
    <x v="3"/>
    <x v="35"/>
    <x v="35"/>
    <x v="16"/>
    <x v="16"/>
    <x v="16"/>
    <x v="16"/>
    <x v="18"/>
    <x v="72"/>
    <x v="373"/>
    <x v="97"/>
    <x v="80"/>
    <x v="109"/>
    <x v="176"/>
    <x v="5"/>
    <x v="5"/>
  </r>
  <r>
    <x v="35"/>
    <x v="0"/>
    <x v="0"/>
    <x v="3"/>
    <x v="35"/>
    <x v="35"/>
    <x v="20"/>
    <x v="20"/>
    <x v="20"/>
    <x v="20"/>
    <x v="19"/>
    <x v="120"/>
    <x v="207"/>
    <x v="93"/>
    <x v="122"/>
    <x v="70"/>
    <x v="438"/>
    <x v="5"/>
    <x v="5"/>
  </r>
  <r>
    <x v="36"/>
    <x v="0"/>
    <x v="0"/>
    <x v="3"/>
    <x v="36"/>
    <x v="36"/>
    <x v="1"/>
    <x v="1"/>
    <x v="1"/>
    <x v="1"/>
    <x v="0"/>
    <x v="357"/>
    <x v="455"/>
    <x v="253"/>
    <x v="450"/>
    <x v="183"/>
    <x v="329"/>
    <x v="5"/>
    <x v="23"/>
  </r>
  <r>
    <x v="36"/>
    <x v="0"/>
    <x v="0"/>
    <x v="3"/>
    <x v="36"/>
    <x v="36"/>
    <x v="2"/>
    <x v="2"/>
    <x v="2"/>
    <x v="2"/>
    <x v="1"/>
    <x v="358"/>
    <x v="456"/>
    <x v="98"/>
    <x v="451"/>
    <x v="270"/>
    <x v="233"/>
    <x v="5"/>
    <x v="23"/>
  </r>
  <r>
    <x v="36"/>
    <x v="0"/>
    <x v="0"/>
    <x v="3"/>
    <x v="36"/>
    <x v="36"/>
    <x v="3"/>
    <x v="3"/>
    <x v="3"/>
    <x v="3"/>
    <x v="2"/>
    <x v="359"/>
    <x v="457"/>
    <x v="172"/>
    <x v="452"/>
    <x v="222"/>
    <x v="135"/>
    <x v="5"/>
    <x v="23"/>
  </r>
  <r>
    <x v="36"/>
    <x v="0"/>
    <x v="0"/>
    <x v="3"/>
    <x v="36"/>
    <x v="36"/>
    <x v="0"/>
    <x v="0"/>
    <x v="0"/>
    <x v="0"/>
    <x v="3"/>
    <x v="171"/>
    <x v="458"/>
    <x v="238"/>
    <x v="453"/>
    <x v="47"/>
    <x v="439"/>
    <x v="5"/>
    <x v="23"/>
  </r>
  <r>
    <x v="36"/>
    <x v="0"/>
    <x v="0"/>
    <x v="3"/>
    <x v="36"/>
    <x v="36"/>
    <x v="6"/>
    <x v="6"/>
    <x v="6"/>
    <x v="6"/>
    <x v="4"/>
    <x v="281"/>
    <x v="459"/>
    <x v="171"/>
    <x v="454"/>
    <x v="130"/>
    <x v="183"/>
    <x v="5"/>
    <x v="23"/>
  </r>
  <r>
    <x v="36"/>
    <x v="0"/>
    <x v="0"/>
    <x v="3"/>
    <x v="36"/>
    <x v="36"/>
    <x v="4"/>
    <x v="4"/>
    <x v="4"/>
    <x v="4"/>
    <x v="5"/>
    <x v="336"/>
    <x v="432"/>
    <x v="144"/>
    <x v="25"/>
    <x v="151"/>
    <x v="440"/>
    <x v="5"/>
    <x v="23"/>
  </r>
  <r>
    <x v="36"/>
    <x v="0"/>
    <x v="0"/>
    <x v="3"/>
    <x v="36"/>
    <x v="36"/>
    <x v="5"/>
    <x v="5"/>
    <x v="5"/>
    <x v="5"/>
    <x v="6"/>
    <x v="101"/>
    <x v="314"/>
    <x v="120"/>
    <x v="455"/>
    <x v="129"/>
    <x v="441"/>
    <x v="5"/>
    <x v="23"/>
  </r>
  <r>
    <x v="36"/>
    <x v="0"/>
    <x v="0"/>
    <x v="3"/>
    <x v="36"/>
    <x v="36"/>
    <x v="9"/>
    <x v="9"/>
    <x v="9"/>
    <x v="9"/>
    <x v="7"/>
    <x v="188"/>
    <x v="395"/>
    <x v="48"/>
    <x v="326"/>
    <x v="99"/>
    <x v="34"/>
    <x v="5"/>
    <x v="23"/>
  </r>
  <r>
    <x v="36"/>
    <x v="0"/>
    <x v="0"/>
    <x v="3"/>
    <x v="36"/>
    <x v="36"/>
    <x v="11"/>
    <x v="11"/>
    <x v="11"/>
    <x v="11"/>
    <x v="8"/>
    <x v="331"/>
    <x v="30"/>
    <x v="254"/>
    <x v="456"/>
    <x v="143"/>
    <x v="295"/>
    <x v="5"/>
    <x v="23"/>
  </r>
  <r>
    <x v="36"/>
    <x v="0"/>
    <x v="0"/>
    <x v="3"/>
    <x v="36"/>
    <x v="36"/>
    <x v="8"/>
    <x v="8"/>
    <x v="8"/>
    <x v="8"/>
    <x v="9"/>
    <x v="211"/>
    <x v="460"/>
    <x v="115"/>
    <x v="457"/>
    <x v="176"/>
    <x v="442"/>
    <x v="5"/>
    <x v="23"/>
  </r>
  <r>
    <x v="36"/>
    <x v="0"/>
    <x v="0"/>
    <x v="3"/>
    <x v="36"/>
    <x v="36"/>
    <x v="7"/>
    <x v="7"/>
    <x v="7"/>
    <x v="7"/>
    <x v="10"/>
    <x v="114"/>
    <x v="461"/>
    <x v="255"/>
    <x v="269"/>
    <x v="116"/>
    <x v="443"/>
    <x v="5"/>
    <x v="23"/>
  </r>
  <r>
    <x v="36"/>
    <x v="0"/>
    <x v="0"/>
    <x v="3"/>
    <x v="36"/>
    <x v="36"/>
    <x v="12"/>
    <x v="12"/>
    <x v="12"/>
    <x v="12"/>
    <x v="11"/>
    <x v="71"/>
    <x v="462"/>
    <x v="78"/>
    <x v="458"/>
    <x v="69"/>
    <x v="108"/>
    <x v="5"/>
    <x v="23"/>
  </r>
  <r>
    <x v="36"/>
    <x v="0"/>
    <x v="0"/>
    <x v="3"/>
    <x v="36"/>
    <x v="36"/>
    <x v="10"/>
    <x v="10"/>
    <x v="10"/>
    <x v="10"/>
    <x v="12"/>
    <x v="116"/>
    <x v="463"/>
    <x v="102"/>
    <x v="459"/>
    <x v="93"/>
    <x v="122"/>
    <x v="5"/>
    <x v="23"/>
  </r>
  <r>
    <x v="36"/>
    <x v="0"/>
    <x v="0"/>
    <x v="3"/>
    <x v="36"/>
    <x v="36"/>
    <x v="13"/>
    <x v="13"/>
    <x v="13"/>
    <x v="13"/>
    <x v="13"/>
    <x v="191"/>
    <x v="53"/>
    <x v="62"/>
    <x v="355"/>
    <x v="142"/>
    <x v="232"/>
    <x v="5"/>
    <x v="23"/>
  </r>
  <r>
    <x v="36"/>
    <x v="0"/>
    <x v="0"/>
    <x v="3"/>
    <x v="36"/>
    <x v="36"/>
    <x v="22"/>
    <x v="22"/>
    <x v="22"/>
    <x v="22"/>
    <x v="14"/>
    <x v="132"/>
    <x v="464"/>
    <x v="63"/>
    <x v="460"/>
    <x v="92"/>
    <x v="110"/>
    <x v="5"/>
    <x v="23"/>
  </r>
  <r>
    <x v="36"/>
    <x v="0"/>
    <x v="0"/>
    <x v="3"/>
    <x v="36"/>
    <x v="36"/>
    <x v="36"/>
    <x v="36"/>
    <x v="36"/>
    <x v="36"/>
    <x v="15"/>
    <x v="133"/>
    <x v="126"/>
    <x v="97"/>
    <x v="247"/>
    <x v="257"/>
    <x v="52"/>
    <x v="5"/>
    <x v="23"/>
  </r>
  <r>
    <x v="36"/>
    <x v="0"/>
    <x v="0"/>
    <x v="3"/>
    <x v="36"/>
    <x v="36"/>
    <x v="14"/>
    <x v="14"/>
    <x v="14"/>
    <x v="14"/>
    <x v="16"/>
    <x v="290"/>
    <x v="108"/>
    <x v="54"/>
    <x v="80"/>
    <x v="170"/>
    <x v="127"/>
    <x v="5"/>
    <x v="23"/>
  </r>
  <r>
    <x v="36"/>
    <x v="0"/>
    <x v="0"/>
    <x v="3"/>
    <x v="36"/>
    <x v="36"/>
    <x v="21"/>
    <x v="21"/>
    <x v="21"/>
    <x v="21"/>
    <x v="17"/>
    <x v="90"/>
    <x v="75"/>
    <x v="93"/>
    <x v="161"/>
    <x v="75"/>
    <x v="444"/>
    <x v="5"/>
    <x v="23"/>
  </r>
  <r>
    <x v="36"/>
    <x v="0"/>
    <x v="0"/>
    <x v="3"/>
    <x v="36"/>
    <x v="36"/>
    <x v="32"/>
    <x v="32"/>
    <x v="32"/>
    <x v="32"/>
    <x v="18"/>
    <x v="58"/>
    <x v="39"/>
    <x v="159"/>
    <x v="461"/>
    <x v="48"/>
    <x v="302"/>
    <x v="5"/>
    <x v="23"/>
  </r>
  <r>
    <x v="36"/>
    <x v="0"/>
    <x v="0"/>
    <x v="3"/>
    <x v="36"/>
    <x v="36"/>
    <x v="20"/>
    <x v="20"/>
    <x v="20"/>
    <x v="20"/>
    <x v="19"/>
    <x v="181"/>
    <x v="349"/>
    <x v="94"/>
    <x v="138"/>
    <x v="190"/>
    <x v="445"/>
    <x v="5"/>
    <x v="23"/>
  </r>
  <r>
    <x v="37"/>
    <x v="0"/>
    <x v="0"/>
    <x v="3"/>
    <x v="37"/>
    <x v="37"/>
    <x v="0"/>
    <x v="0"/>
    <x v="0"/>
    <x v="0"/>
    <x v="0"/>
    <x v="360"/>
    <x v="465"/>
    <x v="227"/>
    <x v="462"/>
    <x v="79"/>
    <x v="446"/>
    <x v="5"/>
    <x v="5"/>
  </r>
  <r>
    <x v="37"/>
    <x v="0"/>
    <x v="0"/>
    <x v="3"/>
    <x v="37"/>
    <x v="37"/>
    <x v="1"/>
    <x v="1"/>
    <x v="1"/>
    <x v="1"/>
    <x v="1"/>
    <x v="108"/>
    <x v="466"/>
    <x v="256"/>
    <x v="463"/>
    <x v="55"/>
    <x v="145"/>
    <x v="8"/>
    <x v="18"/>
  </r>
  <r>
    <x v="37"/>
    <x v="0"/>
    <x v="0"/>
    <x v="3"/>
    <x v="37"/>
    <x v="37"/>
    <x v="2"/>
    <x v="2"/>
    <x v="2"/>
    <x v="2"/>
    <x v="2"/>
    <x v="361"/>
    <x v="467"/>
    <x v="257"/>
    <x v="464"/>
    <x v="53"/>
    <x v="447"/>
    <x v="8"/>
    <x v="18"/>
  </r>
  <r>
    <x v="37"/>
    <x v="0"/>
    <x v="0"/>
    <x v="3"/>
    <x v="37"/>
    <x v="37"/>
    <x v="3"/>
    <x v="3"/>
    <x v="3"/>
    <x v="3"/>
    <x v="3"/>
    <x v="81"/>
    <x v="266"/>
    <x v="258"/>
    <x v="465"/>
    <x v="169"/>
    <x v="448"/>
    <x v="5"/>
    <x v="5"/>
  </r>
  <r>
    <x v="37"/>
    <x v="0"/>
    <x v="0"/>
    <x v="3"/>
    <x v="37"/>
    <x v="37"/>
    <x v="4"/>
    <x v="4"/>
    <x v="4"/>
    <x v="4"/>
    <x v="4"/>
    <x v="362"/>
    <x v="468"/>
    <x v="70"/>
    <x v="373"/>
    <x v="249"/>
    <x v="449"/>
    <x v="5"/>
    <x v="5"/>
  </r>
  <r>
    <x v="37"/>
    <x v="0"/>
    <x v="0"/>
    <x v="3"/>
    <x v="37"/>
    <x v="37"/>
    <x v="5"/>
    <x v="5"/>
    <x v="5"/>
    <x v="5"/>
    <x v="5"/>
    <x v="63"/>
    <x v="228"/>
    <x v="78"/>
    <x v="466"/>
    <x v="271"/>
    <x v="450"/>
    <x v="5"/>
    <x v="5"/>
  </r>
  <r>
    <x v="37"/>
    <x v="0"/>
    <x v="0"/>
    <x v="3"/>
    <x v="37"/>
    <x v="37"/>
    <x v="7"/>
    <x v="7"/>
    <x v="7"/>
    <x v="7"/>
    <x v="5"/>
    <x v="63"/>
    <x v="228"/>
    <x v="259"/>
    <x v="147"/>
    <x v="132"/>
    <x v="177"/>
    <x v="5"/>
    <x v="5"/>
  </r>
  <r>
    <x v="37"/>
    <x v="0"/>
    <x v="0"/>
    <x v="3"/>
    <x v="37"/>
    <x v="37"/>
    <x v="9"/>
    <x v="9"/>
    <x v="9"/>
    <x v="9"/>
    <x v="7"/>
    <x v="65"/>
    <x v="469"/>
    <x v="260"/>
    <x v="467"/>
    <x v="59"/>
    <x v="303"/>
    <x v="8"/>
    <x v="18"/>
  </r>
  <r>
    <x v="37"/>
    <x v="0"/>
    <x v="0"/>
    <x v="3"/>
    <x v="37"/>
    <x v="37"/>
    <x v="6"/>
    <x v="6"/>
    <x v="6"/>
    <x v="6"/>
    <x v="8"/>
    <x v="187"/>
    <x v="405"/>
    <x v="165"/>
    <x v="468"/>
    <x v="92"/>
    <x v="83"/>
    <x v="8"/>
    <x v="18"/>
  </r>
  <r>
    <x v="37"/>
    <x v="0"/>
    <x v="0"/>
    <x v="3"/>
    <x v="37"/>
    <x v="37"/>
    <x v="8"/>
    <x v="8"/>
    <x v="8"/>
    <x v="8"/>
    <x v="9"/>
    <x v="152"/>
    <x v="470"/>
    <x v="53"/>
    <x v="17"/>
    <x v="155"/>
    <x v="451"/>
    <x v="5"/>
    <x v="5"/>
  </r>
  <r>
    <x v="37"/>
    <x v="0"/>
    <x v="0"/>
    <x v="3"/>
    <x v="37"/>
    <x v="37"/>
    <x v="11"/>
    <x v="11"/>
    <x v="11"/>
    <x v="11"/>
    <x v="10"/>
    <x v="143"/>
    <x v="445"/>
    <x v="78"/>
    <x v="466"/>
    <x v="51"/>
    <x v="394"/>
    <x v="5"/>
    <x v="5"/>
  </r>
  <r>
    <x v="37"/>
    <x v="0"/>
    <x v="0"/>
    <x v="3"/>
    <x v="37"/>
    <x v="37"/>
    <x v="12"/>
    <x v="12"/>
    <x v="12"/>
    <x v="12"/>
    <x v="11"/>
    <x v="363"/>
    <x v="260"/>
    <x v="36"/>
    <x v="261"/>
    <x v="115"/>
    <x v="161"/>
    <x v="5"/>
    <x v="5"/>
  </r>
  <r>
    <x v="37"/>
    <x v="0"/>
    <x v="0"/>
    <x v="3"/>
    <x v="37"/>
    <x v="37"/>
    <x v="13"/>
    <x v="13"/>
    <x v="13"/>
    <x v="13"/>
    <x v="12"/>
    <x v="130"/>
    <x v="388"/>
    <x v="66"/>
    <x v="469"/>
    <x v="160"/>
    <x v="452"/>
    <x v="5"/>
    <x v="5"/>
  </r>
  <r>
    <x v="37"/>
    <x v="0"/>
    <x v="0"/>
    <x v="3"/>
    <x v="37"/>
    <x v="37"/>
    <x v="10"/>
    <x v="10"/>
    <x v="10"/>
    <x v="10"/>
    <x v="13"/>
    <x v="53"/>
    <x v="33"/>
    <x v="121"/>
    <x v="470"/>
    <x v="67"/>
    <x v="15"/>
    <x v="5"/>
    <x v="5"/>
  </r>
  <r>
    <x v="37"/>
    <x v="0"/>
    <x v="0"/>
    <x v="3"/>
    <x v="37"/>
    <x v="37"/>
    <x v="14"/>
    <x v="14"/>
    <x v="14"/>
    <x v="14"/>
    <x v="14"/>
    <x v="121"/>
    <x v="471"/>
    <x v="71"/>
    <x v="295"/>
    <x v="77"/>
    <x v="234"/>
    <x v="5"/>
    <x v="5"/>
  </r>
  <r>
    <x v="37"/>
    <x v="0"/>
    <x v="0"/>
    <x v="3"/>
    <x v="37"/>
    <x v="37"/>
    <x v="17"/>
    <x v="17"/>
    <x v="17"/>
    <x v="17"/>
    <x v="15"/>
    <x v="58"/>
    <x v="36"/>
    <x v="132"/>
    <x v="355"/>
    <x v="167"/>
    <x v="453"/>
    <x v="5"/>
    <x v="5"/>
  </r>
  <r>
    <x v="37"/>
    <x v="0"/>
    <x v="0"/>
    <x v="3"/>
    <x v="37"/>
    <x v="37"/>
    <x v="23"/>
    <x v="23"/>
    <x v="23"/>
    <x v="23"/>
    <x v="16"/>
    <x v="92"/>
    <x v="18"/>
    <x v="56"/>
    <x v="56"/>
    <x v="73"/>
    <x v="218"/>
    <x v="4"/>
    <x v="26"/>
  </r>
  <r>
    <x v="37"/>
    <x v="0"/>
    <x v="0"/>
    <x v="3"/>
    <x v="37"/>
    <x v="37"/>
    <x v="16"/>
    <x v="16"/>
    <x v="16"/>
    <x v="16"/>
    <x v="17"/>
    <x v="136"/>
    <x v="428"/>
    <x v="71"/>
    <x v="295"/>
    <x v="93"/>
    <x v="72"/>
    <x v="5"/>
    <x v="5"/>
  </r>
  <r>
    <x v="37"/>
    <x v="0"/>
    <x v="0"/>
    <x v="3"/>
    <x v="37"/>
    <x v="37"/>
    <x v="31"/>
    <x v="31"/>
    <x v="31"/>
    <x v="31"/>
    <x v="17"/>
    <x v="136"/>
    <x v="428"/>
    <x v="94"/>
    <x v="307"/>
    <x v="114"/>
    <x v="454"/>
    <x v="5"/>
    <x v="5"/>
  </r>
  <r>
    <x v="37"/>
    <x v="0"/>
    <x v="0"/>
    <x v="3"/>
    <x v="37"/>
    <x v="37"/>
    <x v="20"/>
    <x v="20"/>
    <x v="20"/>
    <x v="20"/>
    <x v="19"/>
    <x v="193"/>
    <x v="472"/>
    <x v="57"/>
    <x v="105"/>
    <x v="48"/>
    <x v="137"/>
    <x v="5"/>
    <x v="5"/>
  </r>
  <r>
    <x v="38"/>
    <x v="0"/>
    <x v="0"/>
    <x v="3"/>
    <x v="38"/>
    <x v="38"/>
    <x v="0"/>
    <x v="0"/>
    <x v="0"/>
    <x v="0"/>
    <x v="0"/>
    <x v="239"/>
    <x v="473"/>
    <x v="89"/>
    <x v="471"/>
    <x v="126"/>
    <x v="455"/>
    <x v="8"/>
    <x v="20"/>
  </r>
  <r>
    <x v="38"/>
    <x v="0"/>
    <x v="0"/>
    <x v="3"/>
    <x v="38"/>
    <x v="38"/>
    <x v="2"/>
    <x v="2"/>
    <x v="2"/>
    <x v="2"/>
    <x v="1"/>
    <x v="116"/>
    <x v="474"/>
    <x v="187"/>
    <x v="472"/>
    <x v="122"/>
    <x v="456"/>
    <x v="5"/>
    <x v="5"/>
  </r>
  <r>
    <x v="38"/>
    <x v="0"/>
    <x v="0"/>
    <x v="3"/>
    <x v="38"/>
    <x v="38"/>
    <x v="1"/>
    <x v="1"/>
    <x v="1"/>
    <x v="1"/>
    <x v="2"/>
    <x v="364"/>
    <x v="475"/>
    <x v="67"/>
    <x v="473"/>
    <x v="131"/>
    <x v="348"/>
    <x v="8"/>
    <x v="20"/>
  </r>
  <r>
    <x v="38"/>
    <x v="0"/>
    <x v="0"/>
    <x v="3"/>
    <x v="38"/>
    <x v="38"/>
    <x v="3"/>
    <x v="3"/>
    <x v="3"/>
    <x v="3"/>
    <x v="3"/>
    <x v="363"/>
    <x v="96"/>
    <x v="80"/>
    <x v="474"/>
    <x v="78"/>
    <x v="457"/>
    <x v="5"/>
    <x v="5"/>
  </r>
  <r>
    <x v="38"/>
    <x v="0"/>
    <x v="0"/>
    <x v="3"/>
    <x v="38"/>
    <x v="38"/>
    <x v="6"/>
    <x v="6"/>
    <x v="6"/>
    <x v="6"/>
    <x v="4"/>
    <x v="133"/>
    <x v="476"/>
    <x v="261"/>
    <x v="475"/>
    <x v="93"/>
    <x v="458"/>
    <x v="5"/>
    <x v="5"/>
  </r>
  <r>
    <x v="38"/>
    <x v="0"/>
    <x v="0"/>
    <x v="3"/>
    <x v="38"/>
    <x v="38"/>
    <x v="7"/>
    <x v="7"/>
    <x v="7"/>
    <x v="7"/>
    <x v="5"/>
    <x v="219"/>
    <x v="227"/>
    <x v="144"/>
    <x v="278"/>
    <x v="272"/>
    <x v="459"/>
    <x v="5"/>
    <x v="5"/>
  </r>
  <r>
    <x v="38"/>
    <x v="0"/>
    <x v="0"/>
    <x v="3"/>
    <x v="38"/>
    <x v="38"/>
    <x v="9"/>
    <x v="9"/>
    <x v="9"/>
    <x v="9"/>
    <x v="6"/>
    <x v="58"/>
    <x v="477"/>
    <x v="80"/>
    <x v="474"/>
    <x v="231"/>
    <x v="454"/>
    <x v="5"/>
    <x v="5"/>
  </r>
  <r>
    <x v="38"/>
    <x v="0"/>
    <x v="0"/>
    <x v="3"/>
    <x v="38"/>
    <x v="38"/>
    <x v="4"/>
    <x v="4"/>
    <x v="4"/>
    <x v="4"/>
    <x v="7"/>
    <x v="122"/>
    <x v="478"/>
    <x v="55"/>
    <x v="276"/>
    <x v="190"/>
    <x v="460"/>
    <x v="5"/>
    <x v="5"/>
  </r>
  <r>
    <x v="38"/>
    <x v="0"/>
    <x v="0"/>
    <x v="3"/>
    <x v="38"/>
    <x v="38"/>
    <x v="10"/>
    <x v="10"/>
    <x v="10"/>
    <x v="10"/>
    <x v="8"/>
    <x v="157"/>
    <x v="29"/>
    <x v="63"/>
    <x v="129"/>
    <x v="93"/>
    <x v="458"/>
    <x v="5"/>
    <x v="5"/>
  </r>
  <r>
    <x v="38"/>
    <x v="0"/>
    <x v="0"/>
    <x v="3"/>
    <x v="38"/>
    <x v="38"/>
    <x v="11"/>
    <x v="11"/>
    <x v="11"/>
    <x v="11"/>
    <x v="9"/>
    <x v="145"/>
    <x v="479"/>
    <x v="95"/>
    <x v="476"/>
    <x v="182"/>
    <x v="366"/>
    <x v="5"/>
    <x v="5"/>
  </r>
  <r>
    <x v="38"/>
    <x v="0"/>
    <x v="0"/>
    <x v="3"/>
    <x v="38"/>
    <x v="38"/>
    <x v="5"/>
    <x v="5"/>
    <x v="5"/>
    <x v="5"/>
    <x v="10"/>
    <x v="123"/>
    <x v="68"/>
    <x v="55"/>
    <x v="276"/>
    <x v="137"/>
    <x v="461"/>
    <x v="5"/>
    <x v="5"/>
  </r>
  <r>
    <x v="38"/>
    <x v="0"/>
    <x v="0"/>
    <x v="3"/>
    <x v="38"/>
    <x v="38"/>
    <x v="13"/>
    <x v="13"/>
    <x v="13"/>
    <x v="13"/>
    <x v="11"/>
    <x v="215"/>
    <x v="480"/>
    <x v="94"/>
    <x v="477"/>
    <x v="139"/>
    <x v="205"/>
    <x v="5"/>
    <x v="5"/>
  </r>
  <r>
    <x v="38"/>
    <x v="0"/>
    <x v="0"/>
    <x v="3"/>
    <x v="38"/>
    <x v="38"/>
    <x v="8"/>
    <x v="8"/>
    <x v="8"/>
    <x v="8"/>
    <x v="12"/>
    <x v="222"/>
    <x v="337"/>
    <x v="71"/>
    <x v="289"/>
    <x v="114"/>
    <x v="462"/>
    <x v="5"/>
    <x v="5"/>
  </r>
  <r>
    <x v="38"/>
    <x v="0"/>
    <x v="0"/>
    <x v="3"/>
    <x v="38"/>
    <x v="38"/>
    <x v="14"/>
    <x v="14"/>
    <x v="14"/>
    <x v="14"/>
    <x v="13"/>
    <x v="217"/>
    <x v="92"/>
    <x v="56"/>
    <x v="16"/>
    <x v="87"/>
    <x v="382"/>
    <x v="5"/>
    <x v="5"/>
  </r>
  <r>
    <x v="38"/>
    <x v="0"/>
    <x v="0"/>
    <x v="3"/>
    <x v="38"/>
    <x v="38"/>
    <x v="23"/>
    <x v="23"/>
    <x v="23"/>
    <x v="23"/>
    <x v="14"/>
    <x v="223"/>
    <x v="73"/>
    <x v="84"/>
    <x v="89"/>
    <x v="139"/>
    <x v="205"/>
    <x v="5"/>
    <x v="5"/>
  </r>
  <r>
    <x v="38"/>
    <x v="0"/>
    <x v="0"/>
    <x v="3"/>
    <x v="38"/>
    <x v="38"/>
    <x v="12"/>
    <x v="12"/>
    <x v="12"/>
    <x v="12"/>
    <x v="15"/>
    <x v="224"/>
    <x v="449"/>
    <x v="57"/>
    <x v="478"/>
    <x v="187"/>
    <x v="15"/>
    <x v="5"/>
    <x v="5"/>
  </r>
  <r>
    <x v="38"/>
    <x v="0"/>
    <x v="0"/>
    <x v="3"/>
    <x v="38"/>
    <x v="38"/>
    <x v="17"/>
    <x v="17"/>
    <x v="17"/>
    <x v="17"/>
    <x v="16"/>
    <x v="365"/>
    <x v="471"/>
    <x v="116"/>
    <x v="330"/>
    <x v="273"/>
    <x v="463"/>
    <x v="5"/>
    <x v="5"/>
  </r>
  <r>
    <x v="38"/>
    <x v="0"/>
    <x v="0"/>
    <x v="3"/>
    <x v="38"/>
    <x v="38"/>
    <x v="20"/>
    <x v="20"/>
    <x v="20"/>
    <x v="20"/>
    <x v="17"/>
    <x v="225"/>
    <x v="109"/>
    <x v="57"/>
    <x v="478"/>
    <x v="274"/>
    <x v="270"/>
    <x v="5"/>
    <x v="5"/>
  </r>
  <r>
    <x v="38"/>
    <x v="0"/>
    <x v="0"/>
    <x v="3"/>
    <x v="38"/>
    <x v="38"/>
    <x v="33"/>
    <x v="33"/>
    <x v="33"/>
    <x v="33"/>
    <x v="18"/>
    <x v="366"/>
    <x v="349"/>
    <x v="54"/>
    <x v="17"/>
    <x v="274"/>
    <x v="270"/>
    <x v="5"/>
    <x v="5"/>
  </r>
  <r>
    <x v="38"/>
    <x v="0"/>
    <x v="0"/>
    <x v="3"/>
    <x v="38"/>
    <x v="38"/>
    <x v="18"/>
    <x v="18"/>
    <x v="18"/>
    <x v="18"/>
    <x v="18"/>
    <x v="366"/>
    <x v="349"/>
    <x v="125"/>
    <x v="105"/>
    <x v="186"/>
    <x v="9"/>
    <x v="5"/>
    <x v="5"/>
  </r>
  <r>
    <x v="39"/>
    <x v="0"/>
    <x v="0"/>
    <x v="3"/>
    <x v="39"/>
    <x v="39"/>
    <x v="1"/>
    <x v="1"/>
    <x v="1"/>
    <x v="1"/>
    <x v="0"/>
    <x v="320"/>
    <x v="481"/>
    <x v="224"/>
    <x v="479"/>
    <x v="87"/>
    <x v="105"/>
    <x v="5"/>
    <x v="5"/>
  </r>
  <r>
    <x v="39"/>
    <x v="0"/>
    <x v="0"/>
    <x v="3"/>
    <x v="39"/>
    <x v="39"/>
    <x v="2"/>
    <x v="2"/>
    <x v="2"/>
    <x v="2"/>
    <x v="1"/>
    <x v="153"/>
    <x v="482"/>
    <x v="130"/>
    <x v="480"/>
    <x v="139"/>
    <x v="308"/>
    <x v="5"/>
    <x v="5"/>
  </r>
  <r>
    <x v="39"/>
    <x v="0"/>
    <x v="0"/>
    <x v="3"/>
    <x v="39"/>
    <x v="39"/>
    <x v="4"/>
    <x v="4"/>
    <x v="4"/>
    <x v="4"/>
    <x v="2"/>
    <x v="268"/>
    <x v="483"/>
    <x v="70"/>
    <x v="388"/>
    <x v="99"/>
    <x v="464"/>
    <x v="5"/>
    <x v="5"/>
  </r>
  <r>
    <x v="39"/>
    <x v="0"/>
    <x v="0"/>
    <x v="3"/>
    <x v="39"/>
    <x v="39"/>
    <x v="3"/>
    <x v="3"/>
    <x v="3"/>
    <x v="3"/>
    <x v="3"/>
    <x v="155"/>
    <x v="484"/>
    <x v="51"/>
    <x v="481"/>
    <x v="119"/>
    <x v="465"/>
    <x v="5"/>
    <x v="5"/>
  </r>
  <r>
    <x v="39"/>
    <x v="0"/>
    <x v="0"/>
    <x v="3"/>
    <x v="39"/>
    <x v="39"/>
    <x v="6"/>
    <x v="6"/>
    <x v="6"/>
    <x v="6"/>
    <x v="4"/>
    <x v="56"/>
    <x v="485"/>
    <x v="51"/>
    <x v="481"/>
    <x v="138"/>
    <x v="115"/>
    <x v="5"/>
    <x v="5"/>
  </r>
  <r>
    <x v="39"/>
    <x v="0"/>
    <x v="0"/>
    <x v="3"/>
    <x v="39"/>
    <x v="39"/>
    <x v="0"/>
    <x v="0"/>
    <x v="0"/>
    <x v="0"/>
    <x v="5"/>
    <x v="119"/>
    <x v="486"/>
    <x v="200"/>
    <x v="482"/>
    <x v="132"/>
    <x v="466"/>
    <x v="5"/>
    <x v="5"/>
  </r>
  <r>
    <x v="39"/>
    <x v="0"/>
    <x v="0"/>
    <x v="3"/>
    <x v="39"/>
    <x v="39"/>
    <x v="5"/>
    <x v="5"/>
    <x v="5"/>
    <x v="5"/>
    <x v="6"/>
    <x v="181"/>
    <x v="487"/>
    <x v="69"/>
    <x v="483"/>
    <x v="167"/>
    <x v="400"/>
    <x v="5"/>
    <x v="5"/>
  </r>
  <r>
    <x v="39"/>
    <x v="0"/>
    <x v="0"/>
    <x v="3"/>
    <x v="39"/>
    <x v="39"/>
    <x v="22"/>
    <x v="22"/>
    <x v="22"/>
    <x v="22"/>
    <x v="7"/>
    <x v="157"/>
    <x v="8"/>
    <x v="116"/>
    <x v="171"/>
    <x v="123"/>
    <x v="467"/>
    <x v="5"/>
    <x v="5"/>
  </r>
  <r>
    <x v="39"/>
    <x v="0"/>
    <x v="0"/>
    <x v="3"/>
    <x v="39"/>
    <x v="39"/>
    <x v="7"/>
    <x v="7"/>
    <x v="7"/>
    <x v="7"/>
    <x v="8"/>
    <x v="135"/>
    <x v="49"/>
    <x v="66"/>
    <x v="484"/>
    <x v="272"/>
    <x v="140"/>
    <x v="5"/>
    <x v="5"/>
  </r>
  <r>
    <x v="39"/>
    <x v="0"/>
    <x v="0"/>
    <x v="3"/>
    <x v="39"/>
    <x v="39"/>
    <x v="31"/>
    <x v="31"/>
    <x v="31"/>
    <x v="31"/>
    <x v="9"/>
    <x v="193"/>
    <x v="488"/>
    <x v="95"/>
    <x v="402"/>
    <x v="184"/>
    <x v="277"/>
    <x v="5"/>
    <x v="5"/>
  </r>
  <r>
    <x v="39"/>
    <x v="0"/>
    <x v="0"/>
    <x v="3"/>
    <x v="39"/>
    <x v="39"/>
    <x v="12"/>
    <x v="12"/>
    <x v="12"/>
    <x v="12"/>
    <x v="10"/>
    <x v="292"/>
    <x v="489"/>
    <x v="97"/>
    <x v="112"/>
    <x v="180"/>
    <x v="468"/>
    <x v="5"/>
    <x v="5"/>
  </r>
  <r>
    <x v="39"/>
    <x v="0"/>
    <x v="0"/>
    <x v="3"/>
    <x v="39"/>
    <x v="39"/>
    <x v="26"/>
    <x v="26"/>
    <x v="26"/>
    <x v="26"/>
    <x v="11"/>
    <x v="273"/>
    <x v="260"/>
    <x v="53"/>
    <x v="485"/>
    <x v="273"/>
    <x v="260"/>
    <x v="5"/>
    <x v="5"/>
  </r>
  <r>
    <x v="39"/>
    <x v="0"/>
    <x v="0"/>
    <x v="3"/>
    <x v="39"/>
    <x v="39"/>
    <x v="9"/>
    <x v="9"/>
    <x v="9"/>
    <x v="9"/>
    <x v="11"/>
    <x v="273"/>
    <x v="260"/>
    <x v="142"/>
    <x v="486"/>
    <x v="231"/>
    <x v="469"/>
    <x v="5"/>
    <x v="5"/>
  </r>
  <r>
    <x v="39"/>
    <x v="0"/>
    <x v="0"/>
    <x v="3"/>
    <x v="39"/>
    <x v="39"/>
    <x v="8"/>
    <x v="8"/>
    <x v="8"/>
    <x v="8"/>
    <x v="13"/>
    <x v="228"/>
    <x v="490"/>
    <x v="57"/>
    <x v="487"/>
    <x v="87"/>
    <x v="105"/>
    <x v="5"/>
    <x v="5"/>
  </r>
  <r>
    <x v="39"/>
    <x v="0"/>
    <x v="0"/>
    <x v="3"/>
    <x v="39"/>
    <x v="39"/>
    <x v="11"/>
    <x v="11"/>
    <x v="11"/>
    <x v="11"/>
    <x v="14"/>
    <x v="222"/>
    <x v="34"/>
    <x v="63"/>
    <x v="488"/>
    <x v="186"/>
    <x v="289"/>
    <x v="5"/>
    <x v="5"/>
  </r>
  <r>
    <x v="39"/>
    <x v="0"/>
    <x v="0"/>
    <x v="3"/>
    <x v="39"/>
    <x v="39"/>
    <x v="36"/>
    <x v="36"/>
    <x v="36"/>
    <x v="36"/>
    <x v="15"/>
    <x v="367"/>
    <x v="274"/>
    <x v="125"/>
    <x v="132"/>
    <x v="136"/>
    <x v="206"/>
    <x v="5"/>
    <x v="5"/>
  </r>
  <r>
    <x v="39"/>
    <x v="0"/>
    <x v="0"/>
    <x v="3"/>
    <x v="39"/>
    <x v="39"/>
    <x v="35"/>
    <x v="35"/>
    <x v="35"/>
    <x v="35"/>
    <x v="16"/>
    <x v="224"/>
    <x v="408"/>
    <x v="126"/>
    <x v="333"/>
    <x v="185"/>
    <x v="470"/>
    <x v="5"/>
    <x v="5"/>
  </r>
  <r>
    <x v="39"/>
    <x v="0"/>
    <x v="0"/>
    <x v="3"/>
    <x v="39"/>
    <x v="39"/>
    <x v="13"/>
    <x v="13"/>
    <x v="13"/>
    <x v="13"/>
    <x v="17"/>
    <x v="368"/>
    <x v="372"/>
    <x v="57"/>
    <x v="487"/>
    <x v="273"/>
    <x v="260"/>
    <x v="5"/>
    <x v="5"/>
  </r>
  <r>
    <x v="39"/>
    <x v="0"/>
    <x v="0"/>
    <x v="3"/>
    <x v="39"/>
    <x v="39"/>
    <x v="17"/>
    <x v="17"/>
    <x v="17"/>
    <x v="17"/>
    <x v="18"/>
    <x v="366"/>
    <x v="18"/>
    <x v="71"/>
    <x v="489"/>
    <x v="272"/>
    <x v="140"/>
    <x v="5"/>
    <x v="5"/>
  </r>
  <r>
    <x v="39"/>
    <x v="0"/>
    <x v="0"/>
    <x v="3"/>
    <x v="39"/>
    <x v="39"/>
    <x v="10"/>
    <x v="10"/>
    <x v="10"/>
    <x v="10"/>
    <x v="19"/>
    <x v="369"/>
    <x v="491"/>
    <x v="116"/>
    <x v="171"/>
    <x v="275"/>
    <x v="471"/>
    <x v="5"/>
    <x v="5"/>
  </r>
  <r>
    <x v="40"/>
    <x v="0"/>
    <x v="0"/>
    <x v="3"/>
    <x v="40"/>
    <x v="40"/>
    <x v="2"/>
    <x v="2"/>
    <x v="2"/>
    <x v="2"/>
    <x v="0"/>
    <x v="353"/>
    <x v="492"/>
    <x v="262"/>
    <x v="490"/>
    <x v="106"/>
    <x v="472"/>
    <x v="5"/>
    <x v="5"/>
  </r>
  <r>
    <x v="40"/>
    <x v="0"/>
    <x v="0"/>
    <x v="3"/>
    <x v="40"/>
    <x v="40"/>
    <x v="1"/>
    <x v="1"/>
    <x v="1"/>
    <x v="1"/>
    <x v="1"/>
    <x v="138"/>
    <x v="493"/>
    <x v="170"/>
    <x v="491"/>
    <x v="190"/>
    <x v="434"/>
    <x v="5"/>
    <x v="5"/>
  </r>
  <r>
    <x v="40"/>
    <x v="0"/>
    <x v="0"/>
    <x v="3"/>
    <x v="40"/>
    <x v="40"/>
    <x v="0"/>
    <x v="0"/>
    <x v="0"/>
    <x v="0"/>
    <x v="2"/>
    <x v="370"/>
    <x v="494"/>
    <x v="174"/>
    <x v="492"/>
    <x v="229"/>
    <x v="473"/>
    <x v="5"/>
    <x v="5"/>
  </r>
  <r>
    <x v="40"/>
    <x v="0"/>
    <x v="0"/>
    <x v="3"/>
    <x v="40"/>
    <x v="40"/>
    <x v="4"/>
    <x v="4"/>
    <x v="4"/>
    <x v="4"/>
    <x v="3"/>
    <x v="371"/>
    <x v="495"/>
    <x v="143"/>
    <x v="25"/>
    <x v="276"/>
    <x v="474"/>
    <x v="5"/>
    <x v="5"/>
  </r>
  <r>
    <x v="40"/>
    <x v="0"/>
    <x v="0"/>
    <x v="3"/>
    <x v="40"/>
    <x v="40"/>
    <x v="3"/>
    <x v="3"/>
    <x v="3"/>
    <x v="3"/>
    <x v="4"/>
    <x v="202"/>
    <x v="267"/>
    <x v="149"/>
    <x v="493"/>
    <x v="148"/>
    <x v="475"/>
    <x v="5"/>
    <x v="5"/>
  </r>
  <r>
    <x v="40"/>
    <x v="0"/>
    <x v="0"/>
    <x v="3"/>
    <x v="40"/>
    <x v="40"/>
    <x v="6"/>
    <x v="6"/>
    <x v="6"/>
    <x v="6"/>
    <x v="5"/>
    <x v="166"/>
    <x v="290"/>
    <x v="104"/>
    <x v="494"/>
    <x v="70"/>
    <x v="476"/>
    <x v="5"/>
    <x v="5"/>
  </r>
  <r>
    <x v="40"/>
    <x v="0"/>
    <x v="0"/>
    <x v="3"/>
    <x v="40"/>
    <x v="40"/>
    <x v="9"/>
    <x v="9"/>
    <x v="9"/>
    <x v="9"/>
    <x v="6"/>
    <x v="234"/>
    <x v="115"/>
    <x v="48"/>
    <x v="495"/>
    <x v="133"/>
    <x v="92"/>
    <x v="5"/>
    <x v="5"/>
  </r>
  <r>
    <x v="40"/>
    <x v="0"/>
    <x v="0"/>
    <x v="3"/>
    <x v="40"/>
    <x v="40"/>
    <x v="5"/>
    <x v="5"/>
    <x v="5"/>
    <x v="5"/>
    <x v="7"/>
    <x v="143"/>
    <x v="321"/>
    <x v="160"/>
    <x v="148"/>
    <x v="53"/>
    <x v="477"/>
    <x v="5"/>
    <x v="5"/>
  </r>
  <r>
    <x v="40"/>
    <x v="0"/>
    <x v="0"/>
    <x v="3"/>
    <x v="40"/>
    <x v="40"/>
    <x v="7"/>
    <x v="7"/>
    <x v="7"/>
    <x v="7"/>
    <x v="8"/>
    <x v="205"/>
    <x v="282"/>
    <x v="177"/>
    <x v="207"/>
    <x v="179"/>
    <x v="302"/>
    <x v="5"/>
    <x v="5"/>
  </r>
  <r>
    <x v="40"/>
    <x v="0"/>
    <x v="0"/>
    <x v="3"/>
    <x v="40"/>
    <x v="40"/>
    <x v="8"/>
    <x v="8"/>
    <x v="8"/>
    <x v="8"/>
    <x v="9"/>
    <x v="269"/>
    <x v="163"/>
    <x v="55"/>
    <x v="120"/>
    <x v="74"/>
    <x v="478"/>
    <x v="5"/>
    <x v="5"/>
  </r>
  <r>
    <x v="40"/>
    <x v="0"/>
    <x v="0"/>
    <x v="3"/>
    <x v="40"/>
    <x v="40"/>
    <x v="12"/>
    <x v="12"/>
    <x v="12"/>
    <x v="12"/>
    <x v="10"/>
    <x v="191"/>
    <x v="86"/>
    <x v="261"/>
    <x v="211"/>
    <x v="49"/>
    <x v="479"/>
    <x v="5"/>
    <x v="5"/>
  </r>
  <r>
    <x v="40"/>
    <x v="0"/>
    <x v="0"/>
    <x v="3"/>
    <x v="40"/>
    <x v="40"/>
    <x v="11"/>
    <x v="11"/>
    <x v="11"/>
    <x v="11"/>
    <x v="11"/>
    <x v="156"/>
    <x v="271"/>
    <x v="261"/>
    <x v="211"/>
    <x v="118"/>
    <x v="29"/>
    <x v="5"/>
    <x v="5"/>
  </r>
  <r>
    <x v="40"/>
    <x v="0"/>
    <x v="0"/>
    <x v="3"/>
    <x v="40"/>
    <x v="40"/>
    <x v="14"/>
    <x v="14"/>
    <x v="14"/>
    <x v="14"/>
    <x v="12"/>
    <x v="74"/>
    <x v="120"/>
    <x v="116"/>
    <x v="227"/>
    <x v="106"/>
    <x v="472"/>
    <x v="5"/>
    <x v="5"/>
  </r>
  <r>
    <x v="40"/>
    <x v="0"/>
    <x v="0"/>
    <x v="3"/>
    <x v="40"/>
    <x v="40"/>
    <x v="13"/>
    <x v="13"/>
    <x v="13"/>
    <x v="13"/>
    <x v="13"/>
    <x v="90"/>
    <x v="306"/>
    <x v="81"/>
    <x v="34"/>
    <x v="181"/>
    <x v="110"/>
    <x v="5"/>
    <x v="5"/>
  </r>
  <r>
    <x v="40"/>
    <x v="0"/>
    <x v="0"/>
    <x v="3"/>
    <x v="40"/>
    <x v="40"/>
    <x v="10"/>
    <x v="10"/>
    <x v="10"/>
    <x v="10"/>
    <x v="14"/>
    <x v="77"/>
    <x v="496"/>
    <x v="138"/>
    <x v="496"/>
    <x v="179"/>
    <x v="302"/>
    <x v="5"/>
    <x v="5"/>
  </r>
  <r>
    <x v="40"/>
    <x v="0"/>
    <x v="0"/>
    <x v="3"/>
    <x v="40"/>
    <x v="40"/>
    <x v="19"/>
    <x v="19"/>
    <x v="19"/>
    <x v="19"/>
    <x v="15"/>
    <x v="157"/>
    <x v="448"/>
    <x v="97"/>
    <x v="289"/>
    <x v="67"/>
    <x v="245"/>
    <x v="5"/>
    <x v="5"/>
  </r>
  <r>
    <x v="40"/>
    <x v="0"/>
    <x v="0"/>
    <x v="3"/>
    <x v="40"/>
    <x v="40"/>
    <x v="15"/>
    <x v="15"/>
    <x v="15"/>
    <x v="15"/>
    <x v="16"/>
    <x v="292"/>
    <x v="373"/>
    <x v="126"/>
    <x v="122"/>
    <x v="137"/>
    <x v="356"/>
    <x v="5"/>
    <x v="5"/>
  </r>
  <r>
    <x v="40"/>
    <x v="0"/>
    <x v="0"/>
    <x v="3"/>
    <x v="40"/>
    <x v="40"/>
    <x v="17"/>
    <x v="17"/>
    <x v="17"/>
    <x v="17"/>
    <x v="16"/>
    <x v="292"/>
    <x v="373"/>
    <x v="49"/>
    <x v="415"/>
    <x v="179"/>
    <x v="302"/>
    <x v="5"/>
    <x v="5"/>
  </r>
  <r>
    <x v="40"/>
    <x v="0"/>
    <x v="0"/>
    <x v="3"/>
    <x v="40"/>
    <x v="40"/>
    <x v="21"/>
    <x v="21"/>
    <x v="21"/>
    <x v="21"/>
    <x v="18"/>
    <x v="273"/>
    <x v="155"/>
    <x v="71"/>
    <x v="132"/>
    <x v="140"/>
    <x v="177"/>
    <x v="8"/>
    <x v="26"/>
  </r>
  <r>
    <x v="40"/>
    <x v="0"/>
    <x v="0"/>
    <x v="3"/>
    <x v="40"/>
    <x v="40"/>
    <x v="18"/>
    <x v="18"/>
    <x v="18"/>
    <x v="18"/>
    <x v="19"/>
    <x v="148"/>
    <x v="497"/>
    <x v="79"/>
    <x v="36"/>
    <x v="167"/>
    <x v="165"/>
    <x v="8"/>
    <x v="26"/>
  </r>
  <r>
    <x v="41"/>
    <x v="0"/>
    <x v="0"/>
    <x v="3"/>
    <x v="41"/>
    <x v="41"/>
    <x v="0"/>
    <x v="0"/>
    <x v="0"/>
    <x v="0"/>
    <x v="0"/>
    <x v="372"/>
    <x v="498"/>
    <x v="263"/>
    <x v="497"/>
    <x v="277"/>
    <x v="480"/>
    <x v="4"/>
    <x v="24"/>
  </r>
  <r>
    <x v="41"/>
    <x v="0"/>
    <x v="0"/>
    <x v="3"/>
    <x v="41"/>
    <x v="41"/>
    <x v="1"/>
    <x v="1"/>
    <x v="1"/>
    <x v="1"/>
    <x v="1"/>
    <x v="373"/>
    <x v="499"/>
    <x v="264"/>
    <x v="498"/>
    <x v="226"/>
    <x v="55"/>
    <x v="8"/>
    <x v="31"/>
  </r>
  <r>
    <x v="41"/>
    <x v="0"/>
    <x v="0"/>
    <x v="3"/>
    <x v="41"/>
    <x v="41"/>
    <x v="2"/>
    <x v="2"/>
    <x v="2"/>
    <x v="2"/>
    <x v="2"/>
    <x v="374"/>
    <x v="500"/>
    <x v="265"/>
    <x v="499"/>
    <x v="143"/>
    <x v="238"/>
    <x v="5"/>
    <x v="5"/>
  </r>
  <r>
    <x v="41"/>
    <x v="0"/>
    <x v="0"/>
    <x v="3"/>
    <x v="41"/>
    <x v="41"/>
    <x v="4"/>
    <x v="4"/>
    <x v="4"/>
    <x v="4"/>
    <x v="3"/>
    <x v="149"/>
    <x v="501"/>
    <x v="206"/>
    <x v="328"/>
    <x v="278"/>
    <x v="481"/>
    <x v="5"/>
    <x v="5"/>
  </r>
  <r>
    <x v="41"/>
    <x v="0"/>
    <x v="0"/>
    <x v="3"/>
    <x v="41"/>
    <x v="41"/>
    <x v="3"/>
    <x v="3"/>
    <x v="3"/>
    <x v="3"/>
    <x v="4"/>
    <x v="305"/>
    <x v="502"/>
    <x v="204"/>
    <x v="500"/>
    <x v="222"/>
    <x v="478"/>
    <x v="8"/>
    <x v="31"/>
  </r>
  <r>
    <x v="41"/>
    <x v="0"/>
    <x v="0"/>
    <x v="3"/>
    <x v="41"/>
    <x v="41"/>
    <x v="5"/>
    <x v="5"/>
    <x v="5"/>
    <x v="5"/>
    <x v="5"/>
    <x v="375"/>
    <x v="269"/>
    <x v="266"/>
    <x v="242"/>
    <x v="279"/>
    <x v="482"/>
    <x v="5"/>
    <x v="5"/>
  </r>
  <r>
    <x v="41"/>
    <x v="0"/>
    <x v="0"/>
    <x v="3"/>
    <x v="41"/>
    <x v="41"/>
    <x v="8"/>
    <x v="8"/>
    <x v="8"/>
    <x v="8"/>
    <x v="6"/>
    <x v="376"/>
    <x v="171"/>
    <x v="95"/>
    <x v="501"/>
    <x v="173"/>
    <x v="483"/>
    <x v="5"/>
    <x v="5"/>
  </r>
  <r>
    <x v="41"/>
    <x v="0"/>
    <x v="0"/>
    <x v="3"/>
    <x v="41"/>
    <x v="41"/>
    <x v="7"/>
    <x v="7"/>
    <x v="7"/>
    <x v="7"/>
    <x v="7"/>
    <x v="188"/>
    <x v="503"/>
    <x v="267"/>
    <x v="502"/>
    <x v="122"/>
    <x v="484"/>
    <x v="5"/>
    <x v="5"/>
  </r>
  <r>
    <x v="41"/>
    <x v="0"/>
    <x v="0"/>
    <x v="3"/>
    <x v="41"/>
    <x v="41"/>
    <x v="9"/>
    <x v="9"/>
    <x v="9"/>
    <x v="9"/>
    <x v="8"/>
    <x v="102"/>
    <x v="296"/>
    <x v="33"/>
    <x v="503"/>
    <x v="76"/>
    <x v="16"/>
    <x v="5"/>
    <x v="5"/>
  </r>
  <r>
    <x v="41"/>
    <x v="0"/>
    <x v="0"/>
    <x v="3"/>
    <x v="41"/>
    <x v="41"/>
    <x v="12"/>
    <x v="12"/>
    <x v="12"/>
    <x v="12"/>
    <x v="9"/>
    <x v="129"/>
    <x v="504"/>
    <x v="121"/>
    <x v="217"/>
    <x v="197"/>
    <x v="108"/>
    <x v="5"/>
    <x v="5"/>
  </r>
  <r>
    <x v="41"/>
    <x v="0"/>
    <x v="0"/>
    <x v="3"/>
    <x v="41"/>
    <x v="41"/>
    <x v="6"/>
    <x v="6"/>
    <x v="6"/>
    <x v="6"/>
    <x v="10"/>
    <x v="103"/>
    <x v="11"/>
    <x v="176"/>
    <x v="504"/>
    <x v="157"/>
    <x v="88"/>
    <x v="2"/>
    <x v="41"/>
  </r>
  <r>
    <x v="41"/>
    <x v="0"/>
    <x v="0"/>
    <x v="3"/>
    <x v="41"/>
    <x v="41"/>
    <x v="16"/>
    <x v="16"/>
    <x v="16"/>
    <x v="16"/>
    <x v="11"/>
    <x v="154"/>
    <x v="138"/>
    <x v="125"/>
    <x v="85"/>
    <x v="237"/>
    <x v="462"/>
    <x v="8"/>
    <x v="31"/>
  </r>
  <r>
    <x v="41"/>
    <x v="0"/>
    <x v="0"/>
    <x v="3"/>
    <x v="41"/>
    <x v="41"/>
    <x v="13"/>
    <x v="13"/>
    <x v="13"/>
    <x v="13"/>
    <x v="11"/>
    <x v="154"/>
    <x v="138"/>
    <x v="106"/>
    <x v="137"/>
    <x v="62"/>
    <x v="373"/>
    <x v="5"/>
    <x v="5"/>
  </r>
  <r>
    <x v="41"/>
    <x v="0"/>
    <x v="0"/>
    <x v="3"/>
    <x v="41"/>
    <x v="41"/>
    <x v="10"/>
    <x v="10"/>
    <x v="10"/>
    <x v="10"/>
    <x v="13"/>
    <x v="84"/>
    <x v="188"/>
    <x v="207"/>
    <x v="259"/>
    <x v="67"/>
    <x v="258"/>
    <x v="5"/>
    <x v="5"/>
  </r>
  <r>
    <x v="41"/>
    <x v="0"/>
    <x v="0"/>
    <x v="3"/>
    <x v="41"/>
    <x v="41"/>
    <x v="14"/>
    <x v="14"/>
    <x v="14"/>
    <x v="14"/>
    <x v="14"/>
    <x v="51"/>
    <x v="496"/>
    <x v="71"/>
    <x v="295"/>
    <x v="177"/>
    <x v="205"/>
    <x v="5"/>
    <x v="5"/>
  </r>
  <r>
    <x v="41"/>
    <x v="0"/>
    <x v="0"/>
    <x v="3"/>
    <x v="41"/>
    <x v="41"/>
    <x v="11"/>
    <x v="11"/>
    <x v="11"/>
    <x v="11"/>
    <x v="15"/>
    <x v="272"/>
    <x v="124"/>
    <x v="66"/>
    <x v="505"/>
    <x v="70"/>
    <x v="9"/>
    <x v="5"/>
    <x v="5"/>
  </r>
  <r>
    <x v="41"/>
    <x v="0"/>
    <x v="0"/>
    <x v="3"/>
    <x v="41"/>
    <x v="41"/>
    <x v="19"/>
    <x v="19"/>
    <x v="19"/>
    <x v="19"/>
    <x v="16"/>
    <x v="170"/>
    <x v="36"/>
    <x v="82"/>
    <x v="164"/>
    <x v="51"/>
    <x v="94"/>
    <x v="5"/>
    <x v="5"/>
  </r>
  <r>
    <x v="41"/>
    <x v="0"/>
    <x v="0"/>
    <x v="3"/>
    <x v="41"/>
    <x v="41"/>
    <x v="32"/>
    <x v="32"/>
    <x v="32"/>
    <x v="32"/>
    <x v="17"/>
    <x v="75"/>
    <x v="57"/>
    <x v="62"/>
    <x v="288"/>
    <x v="181"/>
    <x v="27"/>
    <x v="5"/>
    <x v="5"/>
  </r>
  <r>
    <x v="41"/>
    <x v="0"/>
    <x v="0"/>
    <x v="3"/>
    <x v="41"/>
    <x v="41"/>
    <x v="18"/>
    <x v="18"/>
    <x v="18"/>
    <x v="18"/>
    <x v="18"/>
    <x v="180"/>
    <x v="38"/>
    <x v="57"/>
    <x v="105"/>
    <x v="257"/>
    <x v="176"/>
    <x v="8"/>
    <x v="31"/>
  </r>
  <r>
    <x v="41"/>
    <x v="0"/>
    <x v="0"/>
    <x v="3"/>
    <x v="41"/>
    <x v="41"/>
    <x v="21"/>
    <x v="21"/>
    <x v="21"/>
    <x v="21"/>
    <x v="19"/>
    <x v="291"/>
    <x v="222"/>
    <x v="126"/>
    <x v="282"/>
    <x v="257"/>
    <x v="176"/>
    <x v="5"/>
    <x v="5"/>
  </r>
  <r>
    <x v="42"/>
    <x v="0"/>
    <x v="0"/>
    <x v="3"/>
    <x v="42"/>
    <x v="42"/>
    <x v="0"/>
    <x v="0"/>
    <x v="0"/>
    <x v="0"/>
    <x v="0"/>
    <x v="377"/>
    <x v="505"/>
    <x v="268"/>
    <x v="506"/>
    <x v="280"/>
    <x v="485"/>
    <x v="5"/>
    <x v="5"/>
  </r>
  <r>
    <x v="42"/>
    <x v="0"/>
    <x v="0"/>
    <x v="3"/>
    <x v="42"/>
    <x v="42"/>
    <x v="1"/>
    <x v="1"/>
    <x v="1"/>
    <x v="1"/>
    <x v="1"/>
    <x v="378"/>
    <x v="506"/>
    <x v="269"/>
    <x v="507"/>
    <x v="227"/>
    <x v="486"/>
    <x v="5"/>
    <x v="5"/>
  </r>
  <r>
    <x v="42"/>
    <x v="0"/>
    <x v="0"/>
    <x v="3"/>
    <x v="42"/>
    <x v="42"/>
    <x v="2"/>
    <x v="2"/>
    <x v="2"/>
    <x v="2"/>
    <x v="2"/>
    <x v="379"/>
    <x v="507"/>
    <x v="270"/>
    <x v="508"/>
    <x v="80"/>
    <x v="188"/>
    <x v="5"/>
    <x v="5"/>
  </r>
  <r>
    <x v="42"/>
    <x v="0"/>
    <x v="0"/>
    <x v="3"/>
    <x v="42"/>
    <x v="42"/>
    <x v="3"/>
    <x v="3"/>
    <x v="3"/>
    <x v="3"/>
    <x v="3"/>
    <x v="173"/>
    <x v="181"/>
    <x v="187"/>
    <x v="509"/>
    <x v="43"/>
    <x v="411"/>
    <x v="5"/>
    <x v="5"/>
  </r>
  <r>
    <x v="42"/>
    <x v="0"/>
    <x v="0"/>
    <x v="3"/>
    <x v="42"/>
    <x v="42"/>
    <x v="5"/>
    <x v="5"/>
    <x v="5"/>
    <x v="5"/>
    <x v="4"/>
    <x v="362"/>
    <x v="160"/>
    <x v="114"/>
    <x v="254"/>
    <x v="199"/>
    <x v="247"/>
    <x v="5"/>
    <x v="5"/>
  </r>
  <r>
    <x v="42"/>
    <x v="0"/>
    <x v="0"/>
    <x v="3"/>
    <x v="42"/>
    <x v="42"/>
    <x v="4"/>
    <x v="4"/>
    <x v="4"/>
    <x v="4"/>
    <x v="5"/>
    <x v="83"/>
    <x v="313"/>
    <x v="137"/>
    <x v="183"/>
    <x v="194"/>
    <x v="487"/>
    <x v="5"/>
    <x v="5"/>
  </r>
  <r>
    <x v="42"/>
    <x v="0"/>
    <x v="0"/>
    <x v="3"/>
    <x v="42"/>
    <x v="42"/>
    <x v="7"/>
    <x v="7"/>
    <x v="7"/>
    <x v="7"/>
    <x v="6"/>
    <x v="166"/>
    <x v="27"/>
    <x v="247"/>
    <x v="510"/>
    <x v="116"/>
    <x v="453"/>
    <x v="5"/>
    <x v="5"/>
  </r>
  <r>
    <x v="42"/>
    <x v="0"/>
    <x v="0"/>
    <x v="3"/>
    <x v="42"/>
    <x v="42"/>
    <x v="9"/>
    <x v="9"/>
    <x v="9"/>
    <x v="9"/>
    <x v="7"/>
    <x v="380"/>
    <x v="434"/>
    <x v="16"/>
    <x v="511"/>
    <x v="77"/>
    <x v="488"/>
    <x v="5"/>
    <x v="5"/>
  </r>
  <r>
    <x v="42"/>
    <x v="0"/>
    <x v="0"/>
    <x v="3"/>
    <x v="42"/>
    <x v="42"/>
    <x v="6"/>
    <x v="6"/>
    <x v="6"/>
    <x v="6"/>
    <x v="8"/>
    <x v="203"/>
    <x v="30"/>
    <x v="139"/>
    <x v="512"/>
    <x v="92"/>
    <x v="92"/>
    <x v="8"/>
    <x v="17"/>
  </r>
  <r>
    <x v="42"/>
    <x v="0"/>
    <x v="0"/>
    <x v="3"/>
    <x v="42"/>
    <x v="42"/>
    <x v="8"/>
    <x v="8"/>
    <x v="8"/>
    <x v="8"/>
    <x v="9"/>
    <x v="211"/>
    <x v="508"/>
    <x v="83"/>
    <x v="161"/>
    <x v="193"/>
    <x v="489"/>
    <x v="5"/>
    <x v="5"/>
  </r>
  <r>
    <x v="42"/>
    <x v="0"/>
    <x v="0"/>
    <x v="3"/>
    <x v="42"/>
    <x v="42"/>
    <x v="12"/>
    <x v="12"/>
    <x v="12"/>
    <x v="12"/>
    <x v="10"/>
    <x v="143"/>
    <x v="509"/>
    <x v="70"/>
    <x v="488"/>
    <x v="117"/>
    <x v="238"/>
    <x v="5"/>
    <x v="5"/>
  </r>
  <r>
    <x v="42"/>
    <x v="0"/>
    <x v="0"/>
    <x v="3"/>
    <x v="42"/>
    <x v="42"/>
    <x v="14"/>
    <x v="14"/>
    <x v="14"/>
    <x v="14"/>
    <x v="11"/>
    <x v="106"/>
    <x v="322"/>
    <x v="57"/>
    <x v="262"/>
    <x v="143"/>
    <x v="348"/>
    <x v="5"/>
    <x v="5"/>
  </r>
  <r>
    <x v="42"/>
    <x v="0"/>
    <x v="0"/>
    <x v="3"/>
    <x v="42"/>
    <x v="42"/>
    <x v="10"/>
    <x v="10"/>
    <x v="10"/>
    <x v="10"/>
    <x v="12"/>
    <x v="269"/>
    <x v="510"/>
    <x v="52"/>
    <x v="485"/>
    <x v="145"/>
    <x v="270"/>
    <x v="5"/>
    <x v="5"/>
  </r>
  <r>
    <x v="42"/>
    <x v="0"/>
    <x v="0"/>
    <x v="3"/>
    <x v="42"/>
    <x v="42"/>
    <x v="11"/>
    <x v="11"/>
    <x v="11"/>
    <x v="11"/>
    <x v="13"/>
    <x v="53"/>
    <x v="51"/>
    <x v="166"/>
    <x v="513"/>
    <x v="99"/>
    <x v="275"/>
    <x v="5"/>
    <x v="5"/>
  </r>
  <r>
    <x v="42"/>
    <x v="0"/>
    <x v="0"/>
    <x v="3"/>
    <x v="42"/>
    <x v="42"/>
    <x v="13"/>
    <x v="13"/>
    <x v="13"/>
    <x v="13"/>
    <x v="14"/>
    <x v="155"/>
    <x v="390"/>
    <x v="81"/>
    <x v="505"/>
    <x v="70"/>
    <x v="436"/>
    <x v="5"/>
    <x v="5"/>
  </r>
  <r>
    <x v="42"/>
    <x v="0"/>
    <x v="0"/>
    <x v="3"/>
    <x v="42"/>
    <x v="42"/>
    <x v="16"/>
    <x v="16"/>
    <x v="16"/>
    <x v="16"/>
    <x v="15"/>
    <x v="219"/>
    <x v="511"/>
    <x v="116"/>
    <x v="19"/>
    <x v="126"/>
    <x v="56"/>
    <x v="5"/>
    <x v="5"/>
  </r>
  <r>
    <x v="42"/>
    <x v="0"/>
    <x v="0"/>
    <x v="3"/>
    <x v="42"/>
    <x v="42"/>
    <x v="17"/>
    <x v="17"/>
    <x v="17"/>
    <x v="17"/>
    <x v="16"/>
    <x v="76"/>
    <x v="471"/>
    <x v="81"/>
    <x v="505"/>
    <x v="123"/>
    <x v="490"/>
    <x v="5"/>
    <x v="5"/>
  </r>
  <r>
    <x v="42"/>
    <x v="0"/>
    <x v="0"/>
    <x v="3"/>
    <x v="42"/>
    <x v="42"/>
    <x v="19"/>
    <x v="19"/>
    <x v="19"/>
    <x v="19"/>
    <x v="17"/>
    <x v="181"/>
    <x v="142"/>
    <x v="126"/>
    <x v="113"/>
    <x v="115"/>
    <x v="399"/>
    <x v="5"/>
    <x v="5"/>
  </r>
  <r>
    <x v="42"/>
    <x v="0"/>
    <x v="0"/>
    <x v="3"/>
    <x v="42"/>
    <x v="42"/>
    <x v="32"/>
    <x v="32"/>
    <x v="32"/>
    <x v="32"/>
    <x v="18"/>
    <x v="206"/>
    <x v="236"/>
    <x v="115"/>
    <x v="171"/>
    <x v="116"/>
    <x v="453"/>
    <x v="5"/>
    <x v="5"/>
  </r>
  <r>
    <x v="42"/>
    <x v="0"/>
    <x v="0"/>
    <x v="3"/>
    <x v="42"/>
    <x v="42"/>
    <x v="20"/>
    <x v="20"/>
    <x v="20"/>
    <x v="20"/>
    <x v="19"/>
    <x v="236"/>
    <x v="19"/>
    <x v="54"/>
    <x v="132"/>
    <x v="73"/>
    <x v="164"/>
    <x v="5"/>
    <x v="5"/>
  </r>
  <r>
    <x v="43"/>
    <x v="0"/>
    <x v="0"/>
    <x v="3"/>
    <x v="43"/>
    <x v="43"/>
    <x v="0"/>
    <x v="0"/>
    <x v="0"/>
    <x v="0"/>
    <x v="0"/>
    <x v="315"/>
    <x v="512"/>
    <x v="271"/>
    <x v="514"/>
    <x v="192"/>
    <x v="491"/>
    <x v="5"/>
    <x v="5"/>
  </r>
  <r>
    <x v="43"/>
    <x v="0"/>
    <x v="0"/>
    <x v="3"/>
    <x v="43"/>
    <x v="43"/>
    <x v="1"/>
    <x v="1"/>
    <x v="1"/>
    <x v="1"/>
    <x v="1"/>
    <x v="381"/>
    <x v="513"/>
    <x v="259"/>
    <x v="515"/>
    <x v="67"/>
    <x v="492"/>
    <x v="5"/>
    <x v="5"/>
  </r>
  <r>
    <x v="43"/>
    <x v="0"/>
    <x v="0"/>
    <x v="3"/>
    <x v="43"/>
    <x v="43"/>
    <x v="2"/>
    <x v="2"/>
    <x v="2"/>
    <x v="2"/>
    <x v="2"/>
    <x v="68"/>
    <x v="392"/>
    <x v="158"/>
    <x v="516"/>
    <x v="67"/>
    <x v="492"/>
    <x v="5"/>
    <x v="5"/>
  </r>
  <r>
    <x v="43"/>
    <x v="0"/>
    <x v="0"/>
    <x v="3"/>
    <x v="43"/>
    <x v="43"/>
    <x v="4"/>
    <x v="4"/>
    <x v="4"/>
    <x v="4"/>
    <x v="3"/>
    <x v="141"/>
    <x v="459"/>
    <x v="159"/>
    <x v="429"/>
    <x v="177"/>
    <x v="493"/>
    <x v="5"/>
    <x v="5"/>
  </r>
  <r>
    <x v="43"/>
    <x v="0"/>
    <x v="0"/>
    <x v="3"/>
    <x v="43"/>
    <x v="43"/>
    <x v="3"/>
    <x v="3"/>
    <x v="3"/>
    <x v="3"/>
    <x v="4"/>
    <x v="204"/>
    <x v="514"/>
    <x v="162"/>
    <x v="517"/>
    <x v="124"/>
    <x v="494"/>
    <x v="5"/>
    <x v="5"/>
  </r>
  <r>
    <x v="43"/>
    <x v="0"/>
    <x v="0"/>
    <x v="3"/>
    <x v="43"/>
    <x v="43"/>
    <x v="5"/>
    <x v="5"/>
    <x v="5"/>
    <x v="5"/>
    <x v="5"/>
    <x v="191"/>
    <x v="183"/>
    <x v="142"/>
    <x v="373"/>
    <x v="257"/>
    <x v="292"/>
    <x v="5"/>
    <x v="5"/>
  </r>
  <r>
    <x v="43"/>
    <x v="0"/>
    <x v="0"/>
    <x v="3"/>
    <x v="43"/>
    <x v="43"/>
    <x v="6"/>
    <x v="6"/>
    <x v="6"/>
    <x v="6"/>
    <x v="5"/>
    <x v="191"/>
    <x v="183"/>
    <x v="114"/>
    <x v="518"/>
    <x v="118"/>
    <x v="495"/>
    <x v="5"/>
    <x v="5"/>
  </r>
  <r>
    <x v="43"/>
    <x v="0"/>
    <x v="0"/>
    <x v="3"/>
    <x v="43"/>
    <x v="43"/>
    <x v="7"/>
    <x v="7"/>
    <x v="7"/>
    <x v="7"/>
    <x v="7"/>
    <x v="75"/>
    <x v="436"/>
    <x v="120"/>
    <x v="519"/>
    <x v="231"/>
    <x v="496"/>
    <x v="5"/>
    <x v="5"/>
  </r>
  <r>
    <x v="43"/>
    <x v="0"/>
    <x v="0"/>
    <x v="3"/>
    <x v="43"/>
    <x v="43"/>
    <x v="9"/>
    <x v="9"/>
    <x v="9"/>
    <x v="9"/>
    <x v="8"/>
    <x v="144"/>
    <x v="515"/>
    <x v="105"/>
    <x v="520"/>
    <x v="136"/>
    <x v="74"/>
    <x v="8"/>
    <x v="20"/>
  </r>
  <r>
    <x v="43"/>
    <x v="0"/>
    <x v="0"/>
    <x v="3"/>
    <x v="43"/>
    <x v="43"/>
    <x v="12"/>
    <x v="12"/>
    <x v="12"/>
    <x v="12"/>
    <x v="9"/>
    <x v="220"/>
    <x v="11"/>
    <x v="142"/>
    <x v="373"/>
    <x v="67"/>
    <x v="492"/>
    <x v="5"/>
    <x v="5"/>
  </r>
  <r>
    <x v="43"/>
    <x v="0"/>
    <x v="0"/>
    <x v="3"/>
    <x v="43"/>
    <x v="43"/>
    <x v="8"/>
    <x v="8"/>
    <x v="8"/>
    <x v="8"/>
    <x v="10"/>
    <x v="121"/>
    <x v="348"/>
    <x v="82"/>
    <x v="327"/>
    <x v="115"/>
    <x v="497"/>
    <x v="5"/>
    <x v="5"/>
  </r>
  <r>
    <x v="43"/>
    <x v="0"/>
    <x v="0"/>
    <x v="3"/>
    <x v="43"/>
    <x v="43"/>
    <x v="11"/>
    <x v="11"/>
    <x v="11"/>
    <x v="11"/>
    <x v="11"/>
    <x v="123"/>
    <x v="446"/>
    <x v="44"/>
    <x v="437"/>
    <x v="116"/>
    <x v="29"/>
    <x v="5"/>
    <x v="5"/>
  </r>
  <r>
    <x v="43"/>
    <x v="0"/>
    <x v="0"/>
    <x v="3"/>
    <x v="43"/>
    <x v="43"/>
    <x v="13"/>
    <x v="13"/>
    <x v="13"/>
    <x v="13"/>
    <x v="12"/>
    <x v="182"/>
    <x v="153"/>
    <x v="94"/>
    <x v="198"/>
    <x v="137"/>
    <x v="498"/>
    <x v="5"/>
    <x v="5"/>
  </r>
  <r>
    <x v="43"/>
    <x v="0"/>
    <x v="0"/>
    <x v="3"/>
    <x v="43"/>
    <x v="43"/>
    <x v="10"/>
    <x v="10"/>
    <x v="10"/>
    <x v="10"/>
    <x v="13"/>
    <x v="135"/>
    <x v="166"/>
    <x v="137"/>
    <x v="193"/>
    <x v="187"/>
    <x v="499"/>
    <x v="5"/>
    <x v="5"/>
  </r>
  <r>
    <x v="43"/>
    <x v="0"/>
    <x v="0"/>
    <x v="3"/>
    <x v="43"/>
    <x v="43"/>
    <x v="14"/>
    <x v="14"/>
    <x v="14"/>
    <x v="14"/>
    <x v="14"/>
    <x v="215"/>
    <x v="108"/>
    <x v="126"/>
    <x v="99"/>
    <x v="48"/>
    <x v="410"/>
    <x v="5"/>
    <x v="5"/>
  </r>
  <r>
    <x v="43"/>
    <x v="0"/>
    <x v="0"/>
    <x v="3"/>
    <x v="43"/>
    <x v="43"/>
    <x v="15"/>
    <x v="15"/>
    <x v="15"/>
    <x v="15"/>
    <x v="15"/>
    <x v="289"/>
    <x v="191"/>
    <x v="82"/>
    <x v="327"/>
    <x v="139"/>
    <x v="176"/>
    <x v="5"/>
    <x v="5"/>
  </r>
  <r>
    <x v="43"/>
    <x v="0"/>
    <x v="0"/>
    <x v="3"/>
    <x v="43"/>
    <x v="43"/>
    <x v="19"/>
    <x v="19"/>
    <x v="19"/>
    <x v="19"/>
    <x v="15"/>
    <x v="289"/>
    <x v="191"/>
    <x v="126"/>
    <x v="99"/>
    <x v="180"/>
    <x v="110"/>
    <x v="5"/>
    <x v="5"/>
  </r>
  <r>
    <x v="43"/>
    <x v="0"/>
    <x v="0"/>
    <x v="3"/>
    <x v="43"/>
    <x v="43"/>
    <x v="32"/>
    <x v="32"/>
    <x v="32"/>
    <x v="32"/>
    <x v="17"/>
    <x v="228"/>
    <x v="109"/>
    <x v="49"/>
    <x v="65"/>
    <x v="187"/>
    <x v="499"/>
    <x v="5"/>
    <x v="5"/>
  </r>
  <r>
    <x v="43"/>
    <x v="0"/>
    <x v="0"/>
    <x v="3"/>
    <x v="43"/>
    <x v="43"/>
    <x v="16"/>
    <x v="16"/>
    <x v="16"/>
    <x v="16"/>
    <x v="18"/>
    <x v="382"/>
    <x v="516"/>
    <x v="125"/>
    <x v="335"/>
    <x v="87"/>
    <x v="94"/>
    <x v="5"/>
    <x v="5"/>
  </r>
  <r>
    <x v="43"/>
    <x v="0"/>
    <x v="0"/>
    <x v="3"/>
    <x v="43"/>
    <x v="43"/>
    <x v="20"/>
    <x v="20"/>
    <x v="20"/>
    <x v="20"/>
    <x v="18"/>
    <x v="382"/>
    <x v="516"/>
    <x v="71"/>
    <x v="262"/>
    <x v="136"/>
    <x v="74"/>
    <x v="5"/>
    <x v="5"/>
  </r>
  <r>
    <x v="44"/>
    <x v="0"/>
    <x v="0"/>
    <x v="3"/>
    <x v="44"/>
    <x v="44"/>
    <x v="0"/>
    <x v="0"/>
    <x v="0"/>
    <x v="0"/>
    <x v="0"/>
    <x v="383"/>
    <x v="517"/>
    <x v="87"/>
    <x v="521"/>
    <x v="200"/>
    <x v="500"/>
    <x v="5"/>
    <x v="5"/>
  </r>
  <r>
    <x v="44"/>
    <x v="0"/>
    <x v="0"/>
    <x v="3"/>
    <x v="44"/>
    <x v="44"/>
    <x v="1"/>
    <x v="1"/>
    <x v="1"/>
    <x v="1"/>
    <x v="1"/>
    <x v="384"/>
    <x v="518"/>
    <x v="272"/>
    <x v="522"/>
    <x v="146"/>
    <x v="347"/>
    <x v="5"/>
    <x v="5"/>
  </r>
  <r>
    <x v="44"/>
    <x v="0"/>
    <x v="0"/>
    <x v="3"/>
    <x v="44"/>
    <x v="44"/>
    <x v="2"/>
    <x v="2"/>
    <x v="2"/>
    <x v="2"/>
    <x v="2"/>
    <x v="264"/>
    <x v="519"/>
    <x v="273"/>
    <x v="443"/>
    <x v="142"/>
    <x v="90"/>
    <x v="5"/>
    <x v="5"/>
  </r>
  <r>
    <x v="44"/>
    <x v="0"/>
    <x v="0"/>
    <x v="3"/>
    <x v="44"/>
    <x v="44"/>
    <x v="4"/>
    <x v="4"/>
    <x v="4"/>
    <x v="4"/>
    <x v="3"/>
    <x v="239"/>
    <x v="520"/>
    <x v="124"/>
    <x v="199"/>
    <x v="237"/>
    <x v="501"/>
    <x v="5"/>
    <x v="5"/>
  </r>
  <r>
    <x v="44"/>
    <x v="0"/>
    <x v="0"/>
    <x v="3"/>
    <x v="44"/>
    <x v="44"/>
    <x v="5"/>
    <x v="5"/>
    <x v="5"/>
    <x v="5"/>
    <x v="4"/>
    <x v="50"/>
    <x v="134"/>
    <x v="62"/>
    <x v="436"/>
    <x v="117"/>
    <x v="502"/>
    <x v="5"/>
    <x v="5"/>
  </r>
  <r>
    <x v="44"/>
    <x v="0"/>
    <x v="0"/>
    <x v="3"/>
    <x v="44"/>
    <x v="44"/>
    <x v="3"/>
    <x v="3"/>
    <x v="3"/>
    <x v="3"/>
    <x v="4"/>
    <x v="50"/>
    <x v="134"/>
    <x v="200"/>
    <x v="523"/>
    <x v="70"/>
    <x v="503"/>
    <x v="5"/>
    <x v="5"/>
  </r>
  <r>
    <x v="44"/>
    <x v="0"/>
    <x v="0"/>
    <x v="3"/>
    <x v="44"/>
    <x v="44"/>
    <x v="9"/>
    <x v="9"/>
    <x v="9"/>
    <x v="9"/>
    <x v="4"/>
    <x v="50"/>
    <x v="134"/>
    <x v="89"/>
    <x v="524"/>
    <x v="48"/>
    <x v="36"/>
    <x v="5"/>
    <x v="5"/>
  </r>
  <r>
    <x v="44"/>
    <x v="0"/>
    <x v="0"/>
    <x v="3"/>
    <x v="44"/>
    <x v="44"/>
    <x v="11"/>
    <x v="11"/>
    <x v="11"/>
    <x v="11"/>
    <x v="7"/>
    <x v="52"/>
    <x v="172"/>
    <x v="103"/>
    <x v="525"/>
    <x v="160"/>
    <x v="67"/>
    <x v="5"/>
    <x v="5"/>
  </r>
  <r>
    <x v="44"/>
    <x v="0"/>
    <x v="0"/>
    <x v="3"/>
    <x v="44"/>
    <x v="44"/>
    <x v="7"/>
    <x v="7"/>
    <x v="7"/>
    <x v="7"/>
    <x v="8"/>
    <x v="88"/>
    <x v="245"/>
    <x v="274"/>
    <x v="526"/>
    <x v="185"/>
    <x v="504"/>
    <x v="5"/>
    <x v="5"/>
  </r>
  <r>
    <x v="44"/>
    <x v="0"/>
    <x v="0"/>
    <x v="3"/>
    <x v="44"/>
    <x v="44"/>
    <x v="8"/>
    <x v="8"/>
    <x v="8"/>
    <x v="8"/>
    <x v="9"/>
    <x v="117"/>
    <x v="259"/>
    <x v="57"/>
    <x v="527"/>
    <x v="74"/>
    <x v="505"/>
    <x v="5"/>
    <x v="5"/>
  </r>
  <r>
    <x v="44"/>
    <x v="0"/>
    <x v="0"/>
    <x v="3"/>
    <x v="44"/>
    <x v="44"/>
    <x v="6"/>
    <x v="6"/>
    <x v="6"/>
    <x v="6"/>
    <x v="10"/>
    <x v="131"/>
    <x v="521"/>
    <x v="107"/>
    <x v="406"/>
    <x v="146"/>
    <x v="347"/>
    <x v="5"/>
    <x v="5"/>
  </r>
  <r>
    <x v="44"/>
    <x v="0"/>
    <x v="0"/>
    <x v="3"/>
    <x v="44"/>
    <x v="44"/>
    <x v="12"/>
    <x v="12"/>
    <x v="12"/>
    <x v="12"/>
    <x v="11"/>
    <x v="144"/>
    <x v="522"/>
    <x v="53"/>
    <x v="111"/>
    <x v="119"/>
    <x v="296"/>
    <x v="5"/>
    <x v="5"/>
  </r>
  <r>
    <x v="44"/>
    <x v="0"/>
    <x v="0"/>
    <x v="3"/>
    <x v="44"/>
    <x v="44"/>
    <x v="13"/>
    <x v="13"/>
    <x v="13"/>
    <x v="13"/>
    <x v="12"/>
    <x v="220"/>
    <x v="388"/>
    <x v="75"/>
    <x v="319"/>
    <x v="138"/>
    <x v="506"/>
    <x v="5"/>
    <x v="5"/>
  </r>
  <r>
    <x v="44"/>
    <x v="0"/>
    <x v="0"/>
    <x v="3"/>
    <x v="44"/>
    <x v="44"/>
    <x v="10"/>
    <x v="10"/>
    <x v="10"/>
    <x v="10"/>
    <x v="13"/>
    <x v="181"/>
    <x v="123"/>
    <x v="35"/>
    <x v="427"/>
    <x v="87"/>
    <x v="129"/>
    <x v="5"/>
    <x v="5"/>
  </r>
  <r>
    <x v="44"/>
    <x v="0"/>
    <x v="0"/>
    <x v="3"/>
    <x v="44"/>
    <x v="44"/>
    <x v="14"/>
    <x v="14"/>
    <x v="14"/>
    <x v="14"/>
    <x v="14"/>
    <x v="206"/>
    <x v="496"/>
    <x v="71"/>
    <x v="14"/>
    <x v="142"/>
    <x v="90"/>
    <x v="5"/>
    <x v="5"/>
  </r>
  <r>
    <x v="44"/>
    <x v="0"/>
    <x v="0"/>
    <x v="3"/>
    <x v="44"/>
    <x v="44"/>
    <x v="16"/>
    <x v="16"/>
    <x v="16"/>
    <x v="16"/>
    <x v="15"/>
    <x v="345"/>
    <x v="523"/>
    <x v="71"/>
    <x v="14"/>
    <x v="133"/>
    <x v="12"/>
    <x v="5"/>
    <x v="5"/>
  </r>
  <r>
    <x v="44"/>
    <x v="0"/>
    <x v="0"/>
    <x v="3"/>
    <x v="44"/>
    <x v="44"/>
    <x v="18"/>
    <x v="18"/>
    <x v="18"/>
    <x v="18"/>
    <x v="16"/>
    <x v="215"/>
    <x v="15"/>
    <x v="126"/>
    <x v="440"/>
    <x v="116"/>
    <x v="399"/>
    <x v="8"/>
    <x v="26"/>
  </r>
  <r>
    <x v="44"/>
    <x v="0"/>
    <x v="0"/>
    <x v="3"/>
    <x v="44"/>
    <x v="44"/>
    <x v="20"/>
    <x v="20"/>
    <x v="20"/>
    <x v="20"/>
    <x v="17"/>
    <x v="137"/>
    <x v="349"/>
    <x v="54"/>
    <x v="37"/>
    <x v="114"/>
    <x v="19"/>
    <x v="5"/>
    <x v="5"/>
  </r>
  <r>
    <x v="44"/>
    <x v="0"/>
    <x v="0"/>
    <x v="3"/>
    <x v="44"/>
    <x v="44"/>
    <x v="23"/>
    <x v="23"/>
    <x v="23"/>
    <x v="23"/>
    <x v="17"/>
    <x v="137"/>
    <x v="349"/>
    <x v="79"/>
    <x v="80"/>
    <x v="180"/>
    <x v="18"/>
    <x v="8"/>
    <x v="26"/>
  </r>
  <r>
    <x v="44"/>
    <x v="0"/>
    <x v="0"/>
    <x v="3"/>
    <x v="44"/>
    <x v="44"/>
    <x v="21"/>
    <x v="21"/>
    <x v="21"/>
    <x v="21"/>
    <x v="19"/>
    <x v="228"/>
    <x v="58"/>
    <x v="79"/>
    <x v="80"/>
    <x v="180"/>
    <x v="18"/>
    <x v="5"/>
    <x v="5"/>
  </r>
  <r>
    <x v="45"/>
    <x v="0"/>
    <x v="0"/>
    <x v="3"/>
    <x v="45"/>
    <x v="45"/>
    <x v="0"/>
    <x v="0"/>
    <x v="0"/>
    <x v="0"/>
    <x v="0"/>
    <x v="341"/>
    <x v="524"/>
    <x v="275"/>
    <x v="337"/>
    <x v="226"/>
    <x v="507"/>
    <x v="8"/>
    <x v="20"/>
  </r>
  <r>
    <x v="45"/>
    <x v="0"/>
    <x v="0"/>
    <x v="3"/>
    <x v="45"/>
    <x v="45"/>
    <x v="1"/>
    <x v="1"/>
    <x v="1"/>
    <x v="1"/>
    <x v="1"/>
    <x v="47"/>
    <x v="525"/>
    <x v="28"/>
    <x v="528"/>
    <x v="140"/>
    <x v="121"/>
    <x v="8"/>
    <x v="20"/>
  </r>
  <r>
    <x v="45"/>
    <x v="0"/>
    <x v="0"/>
    <x v="3"/>
    <x v="45"/>
    <x v="45"/>
    <x v="2"/>
    <x v="2"/>
    <x v="2"/>
    <x v="2"/>
    <x v="2"/>
    <x v="313"/>
    <x v="526"/>
    <x v="276"/>
    <x v="529"/>
    <x v="118"/>
    <x v="508"/>
    <x v="5"/>
    <x v="5"/>
  </r>
  <r>
    <x v="45"/>
    <x v="0"/>
    <x v="0"/>
    <x v="3"/>
    <x v="45"/>
    <x v="45"/>
    <x v="5"/>
    <x v="5"/>
    <x v="5"/>
    <x v="5"/>
    <x v="3"/>
    <x v="385"/>
    <x v="520"/>
    <x v="132"/>
    <x v="210"/>
    <x v="226"/>
    <x v="507"/>
    <x v="5"/>
    <x v="5"/>
  </r>
  <r>
    <x v="45"/>
    <x v="0"/>
    <x v="0"/>
    <x v="3"/>
    <x v="45"/>
    <x v="45"/>
    <x v="4"/>
    <x v="4"/>
    <x v="4"/>
    <x v="4"/>
    <x v="4"/>
    <x v="364"/>
    <x v="527"/>
    <x v="137"/>
    <x v="530"/>
    <x v="108"/>
    <x v="509"/>
    <x v="5"/>
    <x v="5"/>
  </r>
  <r>
    <x v="45"/>
    <x v="0"/>
    <x v="0"/>
    <x v="3"/>
    <x v="45"/>
    <x v="45"/>
    <x v="3"/>
    <x v="3"/>
    <x v="3"/>
    <x v="3"/>
    <x v="5"/>
    <x v="190"/>
    <x v="24"/>
    <x v="105"/>
    <x v="517"/>
    <x v="124"/>
    <x v="510"/>
    <x v="5"/>
    <x v="5"/>
  </r>
  <r>
    <x v="45"/>
    <x v="0"/>
    <x v="0"/>
    <x v="3"/>
    <x v="45"/>
    <x v="45"/>
    <x v="6"/>
    <x v="6"/>
    <x v="6"/>
    <x v="6"/>
    <x v="6"/>
    <x v="54"/>
    <x v="528"/>
    <x v="129"/>
    <x v="531"/>
    <x v="140"/>
    <x v="121"/>
    <x v="5"/>
    <x v="5"/>
  </r>
  <r>
    <x v="45"/>
    <x v="0"/>
    <x v="0"/>
    <x v="3"/>
    <x v="45"/>
    <x v="45"/>
    <x v="8"/>
    <x v="8"/>
    <x v="8"/>
    <x v="8"/>
    <x v="7"/>
    <x v="55"/>
    <x v="64"/>
    <x v="49"/>
    <x v="265"/>
    <x v="69"/>
    <x v="511"/>
    <x v="5"/>
    <x v="5"/>
  </r>
  <r>
    <x v="45"/>
    <x v="0"/>
    <x v="0"/>
    <x v="3"/>
    <x v="45"/>
    <x v="45"/>
    <x v="9"/>
    <x v="9"/>
    <x v="9"/>
    <x v="9"/>
    <x v="8"/>
    <x v="170"/>
    <x v="529"/>
    <x v="144"/>
    <x v="532"/>
    <x v="139"/>
    <x v="140"/>
    <x v="5"/>
    <x v="5"/>
  </r>
  <r>
    <x v="45"/>
    <x v="0"/>
    <x v="0"/>
    <x v="3"/>
    <x v="45"/>
    <x v="45"/>
    <x v="7"/>
    <x v="7"/>
    <x v="7"/>
    <x v="7"/>
    <x v="9"/>
    <x v="132"/>
    <x v="173"/>
    <x v="195"/>
    <x v="269"/>
    <x v="187"/>
    <x v="277"/>
    <x v="5"/>
    <x v="5"/>
  </r>
  <r>
    <x v="45"/>
    <x v="0"/>
    <x v="0"/>
    <x v="3"/>
    <x v="45"/>
    <x v="45"/>
    <x v="12"/>
    <x v="12"/>
    <x v="12"/>
    <x v="12"/>
    <x v="10"/>
    <x v="206"/>
    <x v="187"/>
    <x v="103"/>
    <x v="181"/>
    <x v="137"/>
    <x v="512"/>
    <x v="5"/>
    <x v="5"/>
  </r>
  <r>
    <x v="45"/>
    <x v="0"/>
    <x v="0"/>
    <x v="3"/>
    <x v="45"/>
    <x v="45"/>
    <x v="13"/>
    <x v="13"/>
    <x v="13"/>
    <x v="13"/>
    <x v="11"/>
    <x v="157"/>
    <x v="337"/>
    <x v="55"/>
    <x v="437"/>
    <x v="54"/>
    <x v="168"/>
    <x v="5"/>
    <x v="5"/>
  </r>
  <r>
    <x v="45"/>
    <x v="0"/>
    <x v="0"/>
    <x v="3"/>
    <x v="45"/>
    <x v="45"/>
    <x v="10"/>
    <x v="10"/>
    <x v="10"/>
    <x v="10"/>
    <x v="12"/>
    <x v="182"/>
    <x v="105"/>
    <x v="81"/>
    <x v="25"/>
    <x v="182"/>
    <x v="490"/>
    <x v="5"/>
    <x v="5"/>
  </r>
  <r>
    <x v="45"/>
    <x v="0"/>
    <x v="0"/>
    <x v="3"/>
    <x v="45"/>
    <x v="45"/>
    <x v="14"/>
    <x v="14"/>
    <x v="14"/>
    <x v="14"/>
    <x v="13"/>
    <x v="146"/>
    <x v="124"/>
    <x v="125"/>
    <x v="533"/>
    <x v="133"/>
    <x v="14"/>
    <x v="5"/>
    <x v="5"/>
  </r>
  <r>
    <x v="45"/>
    <x v="0"/>
    <x v="0"/>
    <x v="3"/>
    <x v="45"/>
    <x v="45"/>
    <x v="16"/>
    <x v="16"/>
    <x v="16"/>
    <x v="16"/>
    <x v="14"/>
    <x v="289"/>
    <x v="93"/>
    <x v="84"/>
    <x v="89"/>
    <x v="122"/>
    <x v="186"/>
    <x v="5"/>
    <x v="5"/>
  </r>
  <r>
    <x v="45"/>
    <x v="0"/>
    <x v="0"/>
    <x v="3"/>
    <x v="45"/>
    <x v="45"/>
    <x v="11"/>
    <x v="11"/>
    <x v="11"/>
    <x v="11"/>
    <x v="15"/>
    <x v="222"/>
    <x v="141"/>
    <x v="63"/>
    <x v="397"/>
    <x v="186"/>
    <x v="454"/>
    <x v="5"/>
    <x v="5"/>
  </r>
  <r>
    <x v="45"/>
    <x v="0"/>
    <x v="0"/>
    <x v="3"/>
    <x v="45"/>
    <x v="45"/>
    <x v="19"/>
    <x v="19"/>
    <x v="19"/>
    <x v="19"/>
    <x v="16"/>
    <x v="216"/>
    <x v="349"/>
    <x v="125"/>
    <x v="533"/>
    <x v="114"/>
    <x v="88"/>
    <x v="5"/>
    <x v="5"/>
  </r>
  <r>
    <x v="45"/>
    <x v="0"/>
    <x v="0"/>
    <x v="3"/>
    <x v="45"/>
    <x v="45"/>
    <x v="32"/>
    <x v="32"/>
    <x v="32"/>
    <x v="32"/>
    <x v="17"/>
    <x v="208"/>
    <x v="58"/>
    <x v="116"/>
    <x v="50"/>
    <x v="135"/>
    <x v="165"/>
    <x v="5"/>
    <x v="5"/>
  </r>
  <r>
    <x v="45"/>
    <x v="0"/>
    <x v="0"/>
    <x v="3"/>
    <x v="45"/>
    <x v="45"/>
    <x v="15"/>
    <x v="15"/>
    <x v="15"/>
    <x v="15"/>
    <x v="18"/>
    <x v="217"/>
    <x v="516"/>
    <x v="125"/>
    <x v="533"/>
    <x v="139"/>
    <x v="140"/>
    <x v="5"/>
    <x v="5"/>
  </r>
  <r>
    <x v="45"/>
    <x v="0"/>
    <x v="0"/>
    <x v="3"/>
    <x v="45"/>
    <x v="45"/>
    <x v="21"/>
    <x v="21"/>
    <x v="21"/>
    <x v="21"/>
    <x v="18"/>
    <x v="217"/>
    <x v="516"/>
    <x v="79"/>
    <x v="54"/>
    <x v="136"/>
    <x v="254"/>
    <x v="5"/>
    <x v="5"/>
  </r>
  <r>
    <x v="45"/>
    <x v="0"/>
    <x v="0"/>
    <x v="3"/>
    <x v="45"/>
    <x v="45"/>
    <x v="20"/>
    <x v="20"/>
    <x v="20"/>
    <x v="20"/>
    <x v="18"/>
    <x v="217"/>
    <x v="516"/>
    <x v="125"/>
    <x v="533"/>
    <x v="139"/>
    <x v="140"/>
    <x v="5"/>
    <x v="5"/>
  </r>
  <r>
    <x v="45"/>
    <x v="0"/>
    <x v="0"/>
    <x v="3"/>
    <x v="45"/>
    <x v="45"/>
    <x v="18"/>
    <x v="18"/>
    <x v="18"/>
    <x v="18"/>
    <x v="18"/>
    <x v="217"/>
    <x v="516"/>
    <x v="56"/>
    <x v="85"/>
    <x v="87"/>
    <x v="513"/>
    <x v="5"/>
    <x v="5"/>
  </r>
  <r>
    <x v="46"/>
    <x v="0"/>
    <x v="0"/>
    <x v="3"/>
    <x v="46"/>
    <x v="46"/>
    <x v="0"/>
    <x v="0"/>
    <x v="0"/>
    <x v="0"/>
    <x v="0"/>
    <x v="386"/>
    <x v="530"/>
    <x v="277"/>
    <x v="534"/>
    <x v="167"/>
    <x v="435"/>
    <x v="5"/>
    <x v="5"/>
  </r>
  <r>
    <x v="46"/>
    <x v="0"/>
    <x v="0"/>
    <x v="3"/>
    <x v="46"/>
    <x v="46"/>
    <x v="2"/>
    <x v="2"/>
    <x v="2"/>
    <x v="2"/>
    <x v="1"/>
    <x v="213"/>
    <x v="531"/>
    <x v="278"/>
    <x v="535"/>
    <x v="281"/>
    <x v="343"/>
    <x v="5"/>
    <x v="5"/>
  </r>
  <r>
    <x v="46"/>
    <x v="0"/>
    <x v="0"/>
    <x v="3"/>
    <x v="46"/>
    <x v="46"/>
    <x v="4"/>
    <x v="4"/>
    <x v="4"/>
    <x v="4"/>
    <x v="2"/>
    <x v="52"/>
    <x v="532"/>
    <x v="81"/>
    <x v="173"/>
    <x v="89"/>
    <x v="514"/>
    <x v="5"/>
    <x v="5"/>
  </r>
  <r>
    <x v="46"/>
    <x v="0"/>
    <x v="0"/>
    <x v="3"/>
    <x v="46"/>
    <x v="46"/>
    <x v="1"/>
    <x v="1"/>
    <x v="1"/>
    <x v="1"/>
    <x v="3"/>
    <x v="119"/>
    <x v="533"/>
    <x v="113"/>
    <x v="536"/>
    <x v="281"/>
    <x v="343"/>
    <x v="5"/>
    <x v="5"/>
  </r>
  <r>
    <x v="46"/>
    <x v="0"/>
    <x v="0"/>
    <x v="3"/>
    <x v="46"/>
    <x v="46"/>
    <x v="5"/>
    <x v="5"/>
    <x v="5"/>
    <x v="5"/>
    <x v="4"/>
    <x v="77"/>
    <x v="534"/>
    <x v="137"/>
    <x v="180"/>
    <x v="145"/>
    <x v="515"/>
    <x v="5"/>
    <x v="5"/>
  </r>
  <r>
    <x v="46"/>
    <x v="0"/>
    <x v="0"/>
    <x v="3"/>
    <x v="46"/>
    <x v="46"/>
    <x v="6"/>
    <x v="6"/>
    <x v="6"/>
    <x v="6"/>
    <x v="5"/>
    <x v="122"/>
    <x v="344"/>
    <x v="95"/>
    <x v="537"/>
    <x v="116"/>
    <x v="309"/>
    <x v="5"/>
    <x v="5"/>
  </r>
  <r>
    <x v="46"/>
    <x v="0"/>
    <x v="0"/>
    <x v="3"/>
    <x v="46"/>
    <x v="46"/>
    <x v="8"/>
    <x v="8"/>
    <x v="8"/>
    <x v="8"/>
    <x v="6"/>
    <x v="200"/>
    <x v="535"/>
    <x v="93"/>
    <x v="260"/>
    <x v="146"/>
    <x v="516"/>
    <x v="5"/>
    <x v="5"/>
  </r>
  <r>
    <x v="46"/>
    <x v="0"/>
    <x v="0"/>
    <x v="3"/>
    <x v="46"/>
    <x v="46"/>
    <x v="9"/>
    <x v="9"/>
    <x v="9"/>
    <x v="9"/>
    <x v="7"/>
    <x v="135"/>
    <x v="8"/>
    <x v="115"/>
    <x v="538"/>
    <x v="185"/>
    <x v="388"/>
    <x v="5"/>
    <x v="5"/>
  </r>
  <r>
    <x v="46"/>
    <x v="0"/>
    <x v="0"/>
    <x v="3"/>
    <x v="46"/>
    <x v="46"/>
    <x v="3"/>
    <x v="3"/>
    <x v="3"/>
    <x v="3"/>
    <x v="8"/>
    <x v="146"/>
    <x v="355"/>
    <x v="75"/>
    <x v="539"/>
    <x v="179"/>
    <x v="171"/>
    <x v="5"/>
    <x v="5"/>
  </r>
  <r>
    <x v="46"/>
    <x v="0"/>
    <x v="0"/>
    <x v="3"/>
    <x v="46"/>
    <x v="46"/>
    <x v="7"/>
    <x v="7"/>
    <x v="7"/>
    <x v="7"/>
    <x v="9"/>
    <x v="228"/>
    <x v="368"/>
    <x v="142"/>
    <x v="360"/>
    <x v="275"/>
    <x v="517"/>
    <x v="5"/>
    <x v="5"/>
  </r>
  <r>
    <x v="46"/>
    <x v="0"/>
    <x v="0"/>
    <x v="3"/>
    <x v="46"/>
    <x v="46"/>
    <x v="12"/>
    <x v="12"/>
    <x v="12"/>
    <x v="12"/>
    <x v="10"/>
    <x v="382"/>
    <x v="389"/>
    <x v="116"/>
    <x v="165"/>
    <x v="189"/>
    <x v="518"/>
    <x v="5"/>
    <x v="5"/>
  </r>
  <r>
    <x v="46"/>
    <x v="0"/>
    <x v="0"/>
    <x v="3"/>
    <x v="46"/>
    <x v="46"/>
    <x v="11"/>
    <x v="11"/>
    <x v="11"/>
    <x v="11"/>
    <x v="11"/>
    <x v="225"/>
    <x v="408"/>
    <x v="82"/>
    <x v="540"/>
    <x v="281"/>
    <x v="343"/>
    <x v="5"/>
    <x v="5"/>
  </r>
  <r>
    <x v="46"/>
    <x v="0"/>
    <x v="0"/>
    <x v="3"/>
    <x v="46"/>
    <x v="46"/>
    <x v="10"/>
    <x v="10"/>
    <x v="10"/>
    <x v="10"/>
    <x v="11"/>
    <x v="225"/>
    <x v="408"/>
    <x v="97"/>
    <x v="137"/>
    <x v="184"/>
    <x v="235"/>
    <x v="5"/>
    <x v="5"/>
  </r>
  <r>
    <x v="46"/>
    <x v="0"/>
    <x v="0"/>
    <x v="3"/>
    <x v="46"/>
    <x v="46"/>
    <x v="13"/>
    <x v="13"/>
    <x v="13"/>
    <x v="13"/>
    <x v="11"/>
    <x v="225"/>
    <x v="408"/>
    <x v="126"/>
    <x v="541"/>
    <x v="272"/>
    <x v="121"/>
    <x v="5"/>
    <x v="5"/>
  </r>
  <r>
    <x v="46"/>
    <x v="0"/>
    <x v="0"/>
    <x v="3"/>
    <x v="46"/>
    <x v="46"/>
    <x v="15"/>
    <x v="15"/>
    <x v="15"/>
    <x v="15"/>
    <x v="14"/>
    <x v="387"/>
    <x v="536"/>
    <x v="79"/>
    <x v="153"/>
    <x v="184"/>
    <x v="235"/>
    <x v="5"/>
    <x v="5"/>
  </r>
  <r>
    <x v="46"/>
    <x v="0"/>
    <x v="0"/>
    <x v="3"/>
    <x v="46"/>
    <x v="46"/>
    <x v="21"/>
    <x v="21"/>
    <x v="21"/>
    <x v="21"/>
    <x v="14"/>
    <x v="387"/>
    <x v="536"/>
    <x v="125"/>
    <x v="262"/>
    <x v="231"/>
    <x v="438"/>
    <x v="5"/>
    <x v="5"/>
  </r>
  <r>
    <x v="46"/>
    <x v="0"/>
    <x v="0"/>
    <x v="3"/>
    <x v="46"/>
    <x v="46"/>
    <x v="20"/>
    <x v="20"/>
    <x v="20"/>
    <x v="20"/>
    <x v="14"/>
    <x v="387"/>
    <x v="536"/>
    <x v="84"/>
    <x v="89"/>
    <x v="273"/>
    <x v="30"/>
    <x v="5"/>
    <x v="5"/>
  </r>
  <r>
    <x v="46"/>
    <x v="0"/>
    <x v="0"/>
    <x v="3"/>
    <x v="46"/>
    <x v="46"/>
    <x v="23"/>
    <x v="23"/>
    <x v="23"/>
    <x v="23"/>
    <x v="14"/>
    <x v="387"/>
    <x v="536"/>
    <x v="56"/>
    <x v="335"/>
    <x v="231"/>
    <x v="438"/>
    <x v="8"/>
    <x v="28"/>
  </r>
  <r>
    <x v="46"/>
    <x v="0"/>
    <x v="0"/>
    <x v="3"/>
    <x v="46"/>
    <x v="46"/>
    <x v="37"/>
    <x v="37"/>
    <x v="37"/>
    <x v="37"/>
    <x v="18"/>
    <x v="388"/>
    <x v="537"/>
    <x v="79"/>
    <x v="153"/>
    <x v="281"/>
    <x v="343"/>
    <x v="5"/>
    <x v="5"/>
  </r>
  <r>
    <x v="46"/>
    <x v="0"/>
    <x v="0"/>
    <x v="3"/>
    <x v="46"/>
    <x v="46"/>
    <x v="17"/>
    <x v="17"/>
    <x v="17"/>
    <x v="17"/>
    <x v="19"/>
    <x v="389"/>
    <x v="538"/>
    <x v="125"/>
    <x v="262"/>
    <x v="281"/>
    <x v="343"/>
    <x v="5"/>
    <x v="5"/>
  </r>
  <r>
    <x v="46"/>
    <x v="0"/>
    <x v="0"/>
    <x v="3"/>
    <x v="46"/>
    <x v="46"/>
    <x v="32"/>
    <x v="32"/>
    <x v="32"/>
    <x v="32"/>
    <x v="19"/>
    <x v="389"/>
    <x v="538"/>
    <x v="71"/>
    <x v="263"/>
    <x v="282"/>
    <x v="519"/>
    <x v="5"/>
    <x v="5"/>
  </r>
  <r>
    <x v="47"/>
    <x v="0"/>
    <x v="0"/>
    <x v="3"/>
    <x v="47"/>
    <x v="47"/>
    <x v="0"/>
    <x v="0"/>
    <x v="0"/>
    <x v="0"/>
    <x v="0"/>
    <x v="390"/>
    <x v="539"/>
    <x v="279"/>
    <x v="542"/>
    <x v="58"/>
    <x v="313"/>
    <x v="5"/>
    <x v="5"/>
  </r>
  <r>
    <x v="47"/>
    <x v="0"/>
    <x v="0"/>
    <x v="3"/>
    <x v="47"/>
    <x v="47"/>
    <x v="2"/>
    <x v="2"/>
    <x v="2"/>
    <x v="2"/>
    <x v="1"/>
    <x v="115"/>
    <x v="540"/>
    <x v="151"/>
    <x v="543"/>
    <x v="185"/>
    <x v="520"/>
    <x v="5"/>
    <x v="5"/>
  </r>
  <r>
    <x v="47"/>
    <x v="0"/>
    <x v="0"/>
    <x v="3"/>
    <x v="47"/>
    <x v="47"/>
    <x v="4"/>
    <x v="4"/>
    <x v="4"/>
    <x v="4"/>
    <x v="2"/>
    <x v="391"/>
    <x v="541"/>
    <x v="137"/>
    <x v="544"/>
    <x v="62"/>
    <x v="59"/>
    <x v="5"/>
    <x v="5"/>
  </r>
  <r>
    <x v="47"/>
    <x v="0"/>
    <x v="0"/>
    <x v="3"/>
    <x v="47"/>
    <x v="47"/>
    <x v="5"/>
    <x v="5"/>
    <x v="5"/>
    <x v="5"/>
    <x v="3"/>
    <x v="84"/>
    <x v="290"/>
    <x v="72"/>
    <x v="329"/>
    <x v="56"/>
    <x v="521"/>
    <x v="5"/>
    <x v="5"/>
  </r>
  <r>
    <x v="47"/>
    <x v="0"/>
    <x v="0"/>
    <x v="3"/>
    <x v="47"/>
    <x v="47"/>
    <x v="1"/>
    <x v="1"/>
    <x v="1"/>
    <x v="1"/>
    <x v="4"/>
    <x v="363"/>
    <x v="227"/>
    <x v="91"/>
    <x v="545"/>
    <x v="136"/>
    <x v="459"/>
    <x v="5"/>
    <x v="5"/>
  </r>
  <r>
    <x v="47"/>
    <x v="0"/>
    <x v="0"/>
    <x v="3"/>
    <x v="47"/>
    <x v="47"/>
    <x v="15"/>
    <x v="15"/>
    <x v="15"/>
    <x v="15"/>
    <x v="5"/>
    <x v="52"/>
    <x v="24"/>
    <x v="49"/>
    <x v="111"/>
    <x v="53"/>
    <x v="198"/>
    <x v="5"/>
    <x v="5"/>
  </r>
  <r>
    <x v="47"/>
    <x v="0"/>
    <x v="0"/>
    <x v="3"/>
    <x v="47"/>
    <x v="47"/>
    <x v="8"/>
    <x v="8"/>
    <x v="8"/>
    <x v="8"/>
    <x v="6"/>
    <x v="272"/>
    <x v="542"/>
    <x v="93"/>
    <x v="128"/>
    <x v="183"/>
    <x v="522"/>
    <x v="5"/>
    <x v="5"/>
  </r>
  <r>
    <x v="47"/>
    <x v="0"/>
    <x v="0"/>
    <x v="3"/>
    <x v="47"/>
    <x v="47"/>
    <x v="19"/>
    <x v="19"/>
    <x v="19"/>
    <x v="19"/>
    <x v="7"/>
    <x v="120"/>
    <x v="219"/>
    <x v="44"/>
    <x v="172"/>
    <x v="257"/>
    <x v="350"/>
    <x v="5"/>
    <x v="5"/>
  </r>
  <r>
    <x v="47"/>
    <x v="0"/>
    <x v="0"/>
    <x v="3"/>
    <x v="47"/>
    <x v="47"/>
    <x v="6"/>
    <x v="6"/>
    <x v="6"/>
    <x v="6"/>
    <x v="8"/>
    <x v="77"/>
    <x v="220"/>
    <x v="62"/>
    <x v="67"/>
    <x v="114"/>
    <x v="290"/>
    <x v="5"/>
    <x v="5"/>
  </r>
  <r>
    <x v="47"/>
    <x v="0"/>
    <x v="0"/>
    <x v="3"/>
    <x v="47"/>
    <x v="47"/>
    <x v="9"/>
    <x v="9"/>
    <x v="9"/>
    <x v="9"/>
    <x v="9"/>
    <x v="122"/>
    <x v="463"/>
    <x v="51"/>
    <x v="546"/>
    <x v="273"/>
    <x v="523"/>
    <x v="5"/>
    <x v="5"/>
  </r>
  <r>
    <x v="47"/>
    <x v="0"/>
    <x v="0"/>
    <x v="3"/>
    <x v="47"/>
    <x v="47"/>
    <x v="35"/>
    <x v="35"/>
    <x v="35"/>
    <x v="35"/>
    <x v="10"/>
    <x v="157"/>
    <x v="322"/>
    <x v="57"/>
    <x v="547"/>
    <x v="118"/>
    <x v="308"/>
    <x v="5"/>
    <x v="5"/>
  </r>
  <r>
    <x v="47"/>
    <x v="0"/>
    <x v="0"/>
    <x v="3"/>
    <x v="47"/>
    <x v="47"/>
    <x v="3"/>
    <x v="3"/>
    <x v="3"/>
    <x v="3"/>
    <x v="11"/>
    <x v="192"/>
    <x v="104"/>
    <x v="108"/>
    <x v="69"/>
    <x v="180"/>
    <x v="126"/>
    <x v="5"/>
    <x v="5"/>
  </r>
  <r>
    <x v="47"/>
    <x v="0"/>
    <x v="0"/>
    <x v="3"/>
    <x v="47"/>
    <x v="47"/>
    <x v="32"/>
    <x v="32"/>
    <x v="32"/>
    <x v="32"/>
    <x v="12"/>
    <x v="345"/>
    <x v="261"/>
    <x v="75"/>
    <x v="401"/>
    <x v="139"/>
    <x v="74"/>
    <x v="5"/>
    <x v="5"/>
  </r>
  <r>
    <x v="47"/>
    <x v="0"/>
    <x v="0"/>
    <x v="3"/>
    <x v="47"/>
    <x v="47"/>
    <x v="12"/>
    <x v="12"/>
    <x v="12"/>
    <x v="12"/>
    <x v="13"/>
    <x v="193"/>
    <x v="54"/>
    <x v="44"/>
    <x v="172"/>
    <x v="179"/>
    <x v="58"/>
    <x v="5"/>
    <x v="5"/>
  </r>
  <r>
    <x v="47"/>
    <x v="0"/>
    <x v="0"/>
    <x v="3"/>
    <x v="47"/>
    <x v="47"/>
    <x v="7"/>
    <x v="7"/>
    <x v="7"/>
    <x v="7"/>
    <x v="14"/>
    <x v="292"/>
    <x v="124"/>
    <x v="81"/>
    <x v="548"/>
    <x v="274"/>
    <x v="524"/>
    <x v="5"/>
    <x v="5"/>
  </r>
  <r>
    <x v="47"/>
    <x v="0"/>
    <x v="0"/>
    <x v="3"/>
    <x v="47"/>
    <x v="47"/>
    <x v="13"/>
    <x v="13"/>
    <x v="13"/>
    <x v="13"/>
    <x v="15"/>
    <x v="289"/>
    <x v="190"/>
    <x v="97"/>
    <x v="205"/>
    <x v="87"/>
    <x v="525"/>
    <x v="5"/>
    <x v="5"/>
  </r>
  <r>
    <x v="47"/>
    <x v="0"/>
    <x v="0"/>
    <x v="3"/>
    <x v="47"/>
    <x v="47"/>
    <x v="38"/>
    <x v="38"/>
    <x v="38"/>
    <x v="38"/>
    <x v="16"/>
    <x v="228"/>
    <x v="249"/>
    <x v="54"/>
    <x v="62"/>
    <x v="167"/>
    <x v="76"/>
    <x v="5"/>
    <x v="5"/>
  </r>
  <r>
    <x v="47"/>
    <x v="0"/>
    <x v="0"/>
    <x v="3"/>
    <x v="47"/>
    <x v="47"/>
    <x v="21"/>
    <x v="21"/>
    <x v="21"/>
    <x v="21"/>
    <x v="16"/>
    <x v="228"/>
    <x v="249"/>
    <x v="79"/>
    <x v="14"/>
    <x v="180"/>
    <x v="126"/>
    <x v="5"/>
    <x v="5"/>
  </r>
  <r>
    <x v="47"/>
    <x v="0"/>
    <x v="0"/>
    <x v="3"/>
    <x v="47"/>
    <x v="47"/>
    <x v="39"/>
    <x v="39"/>
    <x v="39"/>
    <x v="39"/>
    <x v="18"/>
    <x v="148"/>
    <x v="16"/>
    <x v="125"/>
    <x v="282"/>
    <x v="131"/>
    <x v="380"/>
    <x v="5"/>
    <x v="5"/>
  </r>
  <r>
    <x v="47"/>
    <x v="0"/>
    <x v="0"/>
    <x v="3"/>
    <x v="47"/>
    <x v="47"/>
    <x v="10"/>
    <x v="10"/>
    <x v="10"/>
    <x v="10"/>
    <x v="18"/>
    <x v="148"/>
    <x v="16"/>
    <x v="93"/>
    <x v="128"/>
    <x v="185"/>
    <x v="520"/>
    <x v="5"/>
    <x v="5"/>
  </r>
  <r>
    <x v="48"/>
    <x v="0"/>
    <x v="0"/>
    <x v="4"/>
    <x v="48"/>
    <x v="48"/>
    <x v="1"/>
    <x v="1"/>
    <x v="1"/>
    <x v="1"/>
    <x v="0"/>
    <x v="240"/>
    <x v="381"/>
    <x v="161"/>
    <x v="549"/>
    <x v="136"/>
    <x v="526"/>
    <x v="5"/>
    <x v="5"/>
  </r>
  <r>
    <x v="48"/>
    <x v="0"/>
    <x v="0"/>
    <x v="4"/>
    <x v="48"/>
    <x v="48"/>
    <x v="4"/>
    <x v="4"/>
    <x v="4"/>
    <x v="4"/>
    <x v="1"/>
    <x v="221"/>
    <x v="543"/>
    <x v="83"/>
    <x v="550"/>
    <x v="119"/>
    <x v="527"/>
    <x v="5"/>
    <x v="5"/>
  </r>
  <r>
    <x v="48"/>
    <x v="0"/>
    <x v="0"/>
    <x v="4"/>
    <x v="48"/>
    <x v="48"/>
    <x v="3"/>
    <x v="3"/>
    <x v="3"/>
    <x v="3"/>
    <x v="2"/>
    <x v="181"/>
    <x v="544"/>
    <x v="72"/>
    <x v="551"/>
    <x v="114"/>
    <x v="528"/>
    <x v="5"/>
    <x v="5"/>
  </r>
  <r>
    <x v="48"/>
    <x v="0"/>
    <x v="0"/>
    <x v="4"/>
    <x v="48"/>
    <x v="48"/>
    <x v="2"/>
    <x v="2"/>
    <x v="2"/>
    <x v="2"/>
    <x v="3"/>
    <x v="134"/>
    <x v="545"/>
    <x v="166"/>
    <x v="552"/>
    <x v="274"/>
    <x v="76"/>
    <x v="5"/>
    <x v="5"/>
  </r>
  <r>
    <x v="48"/>
    <x v="0"/>
    <x v="0"/>
    <x v="4"/>
    <x v="48"/>
    <x v="48"/>
    <x v="0"/>
    <x v="0"/>
    <x v="0"/>
    <x v="0"/>
    <x v="4"/>
    <x v="182"/>
    <x v="546"/>
    <x v="57"/>
    <x v="466"/>
    <x v="132"/>
    <x v="529"/>
    <x v="8"/>
    <x v="27"/>
  </r>
  <r>
    <x v="48"/>
    <x v="0"/>
    <x v="0"/>
    <x v="4"/>
    <x v="48"/>
    <x v="48"/>
    <x v="5"/>
    <x v="5"/>
    <x v="5"/>
    <x v="5"/>
    <x v="5"/>
    <x v="345"/>
    <x v="534"/>
    <x v="95"/>
    <x v="553"/>
    <x v="272"/>
    <x v="52"/>
    <x v="5"/>
    <x v="5"/>
  </r>
  <r>
    <x v="48"/>
    <x v="0"/>
    <x v="0"/>
    <x v="4"/>
    <x v="48"/>
    <x v="48"/>
    <x v="6"/>
    <x v="6"/>
    <x v="6"/>
    <x v="6"/>
    <x v="6"/>
    <x v="135"/>
    <x v="23"/>
    <x v="53"/>
    <x v="554"/>
    <x v="182"/>
    <x v="530"/>
    <x v="5"/>
    <x v="5"/>
  </r>
  <r>
    <x v="48"/>
    <x v="0"/>
    <x v="0"/>
    <x v="4"/>
    <x v="48"/>
    <x v="48"/>
    <x v="12"/>
    <x v="12"/>
    <x v="12"/>
    <x v="12"/>
    <x v="7"/>
    <x v="228"/>
    <x v="547"/>
    <x v="93"/>
    <x v="180"/>
    <x v="135"/>
    <x v="531"/>
    <x v="5"/>
    <x v="5"/>
  </r>
  <r>
    <x v="48"/>
    <x v="0"/>
    <x v="0"/>
    <x v="4"/>
    <x v="48"/>
    <x v="48"/>
    <x v="13"/>
    <x v="13"/>
    <x v="13"/>
    <x v="13"/>
    <x v="8"/>
    <x v="208"/>
    <x v="548"/>
    <x v="93"/>
    <x v="180"/>
    <x v="187"/>
    <x v="498"/>
    <x v="5"/>
    <x v="5"/>
  </r>
  <r>
    <x v="48"/>
    <x v="0"/>
    <x v="0"/>
    <x v="4"/>
    <x v="48"/>
    <x v="48"/>
    <x v="11"/>
    <x v="11"/>
    <x v="11"/>
    <x v="11"/>
    <x v="9"/>
    <x v="217"/>
    <x v="549"/>
    <x v="63"/>
    <x v="63"/>
    <x v="231"/>
    <x v="177"/>
    <x v="5"/>
    <x v="5"/>
  </r>
  <r>
    <x v="48"/>
    <x v="0"/>
    <x v="0"/>
    <x v="4"/>
    <x v="48"/>
    <x v="48"/>
    <x v="10"/>
    <x v="10"/>
    <x v="10"/>
    <x v="10"/>
    <x v="10"/>
    <x v="367"/>
    <x v="550"/>
    <x v="126"/>
    <x v="274"/>
    <x v="135"/>
    <x v="531"/>
    <x v="5"/>
    <x v="5"/>
  </r>
  <r>
    <x v="48"/>
    <x v="0"/>
    <x v="0"/>
    <x v="4"/>
    <x v="48"/>
    <x v="48"/>
    <x v="9"/>
    <x v="9"/>
    <x v="9"/>
    <x v="9"/>
    <x v="11"/>
    <x v="224"/>
    <x v="87"/>
    <x v="83"/>
    <x v="550"/>
    <x v="231"/>
    <x v="177"/>
    <x v="5"/>
    <x v="5"/>
  </r>
  <r>
    <x v="48"/>
    <x v="0"/>
    <x v="0"/>
    <x v="4"/>
    <x v="48"/>
    <x v="48"/>
    <x v="7"/>
    <x v="7"/>
    <x v="7"/>
    <x v="7"/>
    <x v="11"/>
    <x v="224"/>
    <x v="87"/>
    <x v="83"/>
    <x v="550"/>
    <x v="231"/>
    <x v="177"/>
    <x v="5"/>
    <x v="5"/>
  </r>
  <r>
    <x v="48"/>
    <x v="0"/>
    <x v="0"/>
    <x v="4"/>
    <x v="48"/>
    <x v="48"/>
    <x v="14"/>
    <x v="14"/>
    <x v="14"/>
    <x v="14"/>
    <x v="13"/>
    <x v="365"/>
    <x v="165"/>
    <x v="125"/>
    <x v="106"/>
    <x v="135"/>
    <x v="531"/>
    <x v="5"/>
    <x v="5"/>
  </r>
  <r>
    <x v="48"/>
    <x v="0"/>
    <x v="0"/>
    <x v="4"/>
    <x v="48"/>
    <x v="48"/>
    <x v="8"/>
    <x v="8"/>
    <x v="8"/>
    <x v="8"/>
    <x v="14"/>
    <x v="225"/>
    <x v="13"/>
    <x v="84"/>
    <x v="89"/>
    <x v="135"/>
    <x v="531"/>
    <x v="5"/>
    <x v="5"/>
  </r>
  <r>
    <x v="48"/>
    <x v="0"/>
    <x v="0"/>
    <x v="4"/>
    <x v="48"/>
    <x v="48"/>
    <x v="31"/>
    <x v="31"/>
    <x v="31"/>
    <x v="31"/>
    <x v="14"/>
    <x v="225"/>
    <x v="13"/>
    <x v="79"/>
    <x v="439"/>
    <x v="186"/>
    <x v="427"/>
    <x v="5"/>
    <x v="5"/>
  </r>
  <r>
    <x v="48"/>
    <x v="0"/>
    <x v="0"/>
    <x v="4"/>
    <x v="48"/>
    <x v="48"/>
    <x v="33"/>
    <x v="33"/>
    <x v="33"/>
    <x v="33"/>
    <x v="16"/>
    <x v="392"/>
    <x v="248"/>
    <x v="56"/>
    <x v="555"/>
    <x v="272"/>
    <x v="52"/>
    <x v="5"/>
    <x v="5"/>
  </r>
  <r>
    <x v="48"/>
    <x v="0"/>
    <x v="0"/>
    <x v="4"/>
    <x v="48"/>
    <x v="48"/>
    <x v="17"/>
    <x v="17"/>
    <x v="17"/>
    <x v="17"/>
    <x v="17"/>
    <x v="393"/>
    <x v="108"/>
    <x v="126"/>
    <x v="274"/>
    <x v="281"/>
    <x v="532"/>
    <x v="5"/>
    <x v="5"/>
  </r>
  <r>
    <x v="48"/>
    <x v="0"/>
    <x v="0"/>
    <x v="4"/>
    <x v="48"/>
    <x v="48"/>
    <x v="24"/>
    <x v="24"/>
    <x v="24"/>
    <x v="24"/>
    <x v="18"/>
    <x v="387"/>
    <x v="16"/>
    <x v="84"/>
    <x v="89"/>
    <x v="273"/>
    <x v="142"/>
    <x v="5"/>
    <x v="5"/>
  </r>
  <r>
    <x v="48"/>
    <x v="0"/>
    <x v="0"/>
    <x v="4"/>
    <x v="48"/>
    <x v="48"/>
    <x v="20"/>
    <x v="20"/>
    <x v="20"/>
    <x v="20"/>
    <x v="18"/>
    <x v="387"/>
    <x v="16"/>
    <x v="125"/>
    <x v="106"/>
    <x v="231"/>
    <x v="177"/>
    <x v="5"/>
    <x v="5"/>
  </r>
  <r>
    <x v="48"/>
    <x v="0"/>
    <x v="0"/>
    <x v="4"/>
    <x v="48"/>
    <x v="48"/>
    <x v="18"/>
    <x v="18"/>
    <x v="18"/>
    <x v="18"/>
    <x v="18"/>
    <x v="387"/>
    <x v="16"/>
    <x v="84"/>
    <x v="89"/>
    <x v="273"/>
    <x v="142"/>
    <x v="5"/>
    <x v="5"/>
  </r>
  <r>
    <x v="49"/>
    <x v="0"/>
    <x v="0"/>
    <x v="4"/>
    <x v="49"/>
    <x v="49"/>
    <x v="0"/>
    <x v="0"/>
    <x v="0"/>
    <x v="0"/>
    <x v="0"/>
    <x v="102"/>
    <x v="551"/>
    <x v="280"/>
    <x v="556"/>
    <x v="78"/>
    <x v="533"/>
    <x v="5"/>
    <x v="5"/>
  </r>
  <r>
    <x v="49"/>
    <x v="0"/>
    <x v="0"/>
    <x v="4"/>
    <x v="49"/>
    <x v="49"/>
    <x v="1"/>
    <x v="1"/>
    <x v="1"/>
    <x v="1"/>
    <x v="1"/>
    <x v="218"/>
    <x v="96"/>
    <x v="68"/>
    <x v="557"/>
    <x v="189"/>
    <x v="92"/>
    <x v="5"/>
    <x v="5"/>
  </r>
  <r>
    <x v="49"/>
    <x v="0"/>
    <x v="0"/>
    <x v="4"/>
    <x v="49"/>
    <x v="49"/>
    <x v="2"/>
    <x v="2"/>
    <x v="2"/>
    <x v="2"/>
    <x v="2"/>
    <x v="117"/>
    <x v="552"/>
    <x v="131"/>
    <x v="558"/>
    <x v="135"/>
    <x v="404"/>
    <x v="5"/>
    <x v="5"/>
  </r>
  <r>
    <x v="49"/>
    <x v="0"/>
    <x v="0"/>
    <x v="4"/>
    <x v="49"/>
    <x v="49"/>
    <x v="4"/>
    <x v="4"/>
    <x v="4"/>
    <x v="4"/>
    <x v="3"/>
    <x v="72"/>
    <x v="553"/>
    <x v="63"/>
    <x v="559"/>
    <x v="57"/>
    <x v="534"/>
    <x v="5"/>
    <x v="5"/>
  </r>
  <r>
    <x v="49"/>
    <x v="0"/>
    <x v="0"/>
    <x v="4"/>
    <x v="49"/>
    <x v="49"/>
    <x v="5"/>
    <x v="5"/>
    <x v="5"/>
    <x v="5"/>
    <x v="4"/>
    <x v="133"/>
    <x v="554"/>
    <x v="142"/>
    <x v="550"/>
    <x v="49"/>
    <x v="535"/>
    <x v="5"/>
    <x v="5"/>
  </r>
  <r>
    <x v="49"/>
    <x v="0"/>
    <x v="0"/>
    <x v="4"/>
    <x v="49"/>
    <x v="49"/>
    <x v="3"/>
    <x v="3"/>
    <x v="3"/>
    <x v="3"/>
    <x v="5"/>
    <x v="181"/>
    <x v="555"/>
    <x v="137"/>
    <x v="368"/>
    <x v="116"/>
    <x v="536"/>
    <x v="5"/>
    <x v="5"/>
  </r>
  <r>
    <x v="49"/>
    <x v="0"/>
    <x v="0"/>
    <x v="4"/>
    <x v="49"/>
    <x v="49"/>
    <x v="9"/>
    <x v="9"/>
    <x v="9"/>
    <x v="9"/>
    <x v="6"/>
    <x v="91"/>
    <x v="556"/>
    <x v="107"/>
    <x v="560"/>
    <x v="272"/>
    <x v="438"/>
    <x v="5"/>
    <x v="5"/>
  </r>
  <r>
    <x v="49"/>
    <x v="0"/>
    <x v="0"/>
    <x v="4"/>
    <x v="49"/>
    <x v="49"/>
    <x v="12"/>
    <x v="12"/>
    <x v="12"/>
    <x v="12"/>
    <x v="7"/>
    <x v="92"/>
    <x v="557"/>
    <x v="81"/>
    <x v="561"/>
    <x v="167"/>
    <x v="537"/>
    <x v="5"/>
    <x v="5"/>
  </r>
  <r>
    <x v="49"/>
    <x v="0"/>
    <x v="0"/>
    <x v="4"/>
    <x v="49"/>
    <x v="49"/>
    <x v="6"/>
    <x v="6"/>
    <x v="6"/>
    <x v="6"/>
    <x v="8"/>
    <x v="145"/>
    <x v="558"/>
    <x v="132"/>
    <x v="562"/>
    <x v="273"/>
    <x v="266"/>
    <x v="5"/>
    <x v="5"/>
  </r>
  <r>
    <x v="49"/>
    <x v="0"/>
    <x v="0"/>
    <x v="4"/>
    <x v="49"/>
    <x v="49"/>
    <x v="8"/>
    <x v="8"/>
    <x v="8"/>
    <x v="8"/>
    <x v="9"/>
    <x v="182"/>
    <x v="332"/>
    <x v="54"/>
    <x v="293"/>
    <x v="181"/>
    <x v="538"/>
    <x v="5"/>
    <x v="5"/>
  </r>
  <r>
    <x v="49"/>
    <x v="0"/>
    <x v="0"/>
    <x v="4"/>
    <x v="49"/>
    <x v="49"/>
    <x v="7"/>
    <x v="7"/>
    <x v="7"/>
    <x v="7"/>
    <x v="10"/>
    <x v="136"/>
    <x v="559"/>
    <x v="35"/>
    <x v="563"/>
    <x v="282"/>
    <x v="539"/>
    <x v="5"/>
    <x v="5"/>
  </r>
  <r>
    <x v="49"/>
    <x v="0"/>
    <x v="0"/>
    <x v="4"/>
    <x v="49"/>
    <x v="49"/>
    <x v="19"/>
    <x v="19"/>
    <x v="19"/>
    <x v="19"/>
    <x v="11"/>
    <x v="292"/>
    <x v="560"/>
    <x v="97"/>
    <x v="346"/>
    <x v="180"/>
    <x v="540"/>
    <x v="5"/>
    <x v="5"/>
  </r>
  <r>
    <x v="49"/>
    <x v="0"/>
    <x v="0"/>
    <x v="4"/>
    <x v="49"/>
    <x v="49"/>
    <x v="21"/>
    <x v="21"/>
    <x v="21"/>
    <x v="21"/>
    <x v="12"/>
    <x v="228"/>
    <x v="12"/>
    <x v="126"/>
    <x v="313"/>
    <x v="114"/>
    <x v="401"/>
    <x v="5"/>
    <x v="5"/>
  </r>
  <r>
    <x v="49"/>
    <x v="0"/>
    <x v="0"/>
    <x v="4"/>
    <x v="49"/>
    <x v="49"/>
    <x v="32"/>
    <x v="32"/>
    <x v="32"/>
    <x v="32"/>
    <x v="13"/>
    <x v="216"/>
    <x v="561"/>
    <x v="55"/>
    <x v="306"/>
    <x v="273"/>
    <x v="266"/>
    <x v="5"/>
    <x v="5"/>
  </r>
  <r>
    <x v="49"/>
    <x v="0"/>
    <x v="0"/>
    <x v="4"/>
    <x v="49"/>
    <x v="49"/>
    <x v="15"/>
    <x v="15"/>
    <x v="15"/>
    <x v="15"/>
    <x v="14"/>
    <x v="208"/>
    <x v="105"/>
    <x v="54"/>
    <x v="293"/>
    <x v="179"/>
    <x v="257"/>
    <x v="5"/>
    <x v="5"/>
  </r>
  <r>
    <x v="49"/>
    <x v="0"/>
    <x v="0"/>
    <x v="4"/>
    <x v="49"/>
    <x v="49"/>
    <x v="13"/>
    <x v="13"/>
    <x v="13"/>
    <x v="13"/>
    <x v="15"/>
    <x v="224"/>
    <x v="234"/>
    <x v="126"/>
    <x v="313"/>
    <x v="185"/>
    <x v="30"/>
    <x v="5"/>
    <x v="5"/>
  </r>
  <r>
    <x v="49"/>
    <x v="0"/>
    <x v="0"/>
    <x v="4"/>
    <x v="49"/>
    <x v="49"/>
    <x v="40"/>
    <x v="40"/>
    <x v="40"/>
    <x v="40"/>
    <x v="16"/>
    <x v="225"/>
    <x v="205"/>
    <x v="71"/>
    <x v="55"/>
    <x v="187"/>
    <x v="18"/>
    <x v="5"/>
    <x v="5"/>
  </r>
  <r>
    <x v="49"/>
    <x v="0"/>
    <x v="0"/>
    <x v="4"/>
    <x v="49"/>
    <x v="49"/>
    <x v="14"/>
    <x v="14"/>
    <x v="14"/>
    <x v="14"/>
    <x v="16"/>
    <x v="225"/>
    <x v="205"/>
    <x v="84"/>
    <x v="89"/>
    <x v="135"/>
    <x v="404"/>
    <x v="5"/>
    <x v="5"/>
  </r>
  <r>
    <x v="49"/>
    <x v="0"/>
    <x v="0"/>
    <x v="4"/>
    <x v="49"/>
    <x v="49"/>
    <x v="35"/>
    <x v="35"/>
    <x v="35"/>
    <x v="35"/>
    <x v="18"/>
    <x v="366"/>
    <x v="142"/>
    <x v="84"/>
    <x v="89"/>
    <x v="189"/>
    <x v="92"/>
    <x v="5"/>
    <x v="5"/>
  </r>
  <r>
    <x v="49"/>
    <x v="0"/>
    <x v="0"/>
    <x v="4"/>
    <x v="49"/>
    <x v="49"/>
    <x v="17"/>
    <x v="17"/>
    <x v="17"/>
    <x v="17"/>
    <x v="18"/>
    <x v="366"/>
    <x v="142"/>
    <x v="116"/>
    <x v="301"/>
    <x v="184"/>
    <x v="541"/>
    <x v="5"/>
    <x v="5"/>
  </r>
  <r>
    <x v="50"/>
    <x v="0"/>
    <x v="0"/>
    <x v="4"/>
    <x v="50"/>
    <x v="50"/>
    <x v="0"/>
    <x v="0"/>
    <x v="0"/>
    <x v="0"/>
    <x v="0"/>
    <x v="356"/>
    <x v="562"/>
    <x v="172"/>
    <x v="564"/>
    <x v="137"/>
    <x v="542"/>
    <x v="5"/>
    <x v="5"/>
  </r>
  <r>
    <x v="50"/>
    <x v="0"/>
    <x v="0"/>
    <x v="4"/>
    <x v="50"/>
    <x v="50"/>
    <x v="2"/>
    <x v="2"/>
    <x v="2"/>
    <x v="2"/>
    <x v="1"/>
    <x v="122"/>
    <x v="241"/>
    <x v="161"/>
    <x v="565"/>
    <x v="187"/>
    <x v="543"/>
    <x v="5"/>
    <x v="5"/>
  </r>
  <r>
    <x v="50"/>
    <x v="0"/>
    <x v="0"/>
    <x v="4"/>
    <x v="50"/>
    <x v="50"/>
    <x v="3"/>
    <x v="3"/>
    <x v="3"/>
    <x v="3"/>
    <x v="2"/>
    <x v="214"/>
    <x v="563"/>
    <x v="159"/>
    <x v="169"/>
    <x v="114"/>
    <x v="522"/>
    <x v="5"/>
    <x v="5"/>
  </r>
  <r>
    <x v="50"/>
    <x v="0"/>
    <x v="0"/>
    <x v="4"/>
    <x v="50"/>
    <x v="50"/>
    <x v="1"/>
    <x v="1"/>
    <x v="1"/>
    <x v="1"/>
    <x v="2"/>
    <x v="214"/>
    <x v="563"/>
    <x v="70"/>
    <x v="566"/>
    <x v="273"/>
    <x v="211"/>
    <x v="5"/>
    <x v="5"/>
  </r>
  <r>
    <x v="50"/>
    <x v="0"/>
    <x v="0"/>
    <x v="4"/>
    <x v="50"/>
    <x v="50"/>
    <x v="6"/>
    <x v="6"/>
    <x v="6"/>
    <x v="6"/>
    <x v="4"/>
    <x v="236"/>
    <x v="541"/>
    <x v="70"/>
    <x v="566"/>
    <x v="184"/>
    <x v="544"/>
    <x v="8"/>
    <x v="20"/>
  </r>
  <r>
    <x v="50"/>
    <x v="0"/>
    <x v="0"/>
    <x v="4"/>
    <x v="50"/>
    <x v="50"/>
    <x v="9"/>
    <x v="9"/>
    <x v="9"/>
    <x v="9"/>
    <x v="5"/>
    <x v="134"/>
    <x v="564"/>
    <x v="62"/>
    <x v="567"/>
    <x v="272"/>
    <x v="545"/>
    <x v="8"/>
    <x v="20"/>
  </r>
  <r>
    <x v="50"/>
    <x v="0"/>
    <x v="0"/>
    <x v="4"/>
    <x v="50"/>
    <x v="50"/>
    <x v="4"/>
    <x v="4"/>
    <x v="4"/>
    <x v="4"/>
    <x v="6"/>
    <x v="207"/>
    <x v="565"/>
    <x v="83"/>
    <x v="568"/>
    <x v="137"/>
    <x v="542"/>
    <x v="5"/>
    <x v="5"/>
  </r>
  <r>
    <x v="50"/>
    <x v="0"/>
    <x v="0"/>
    <x v="4"/>
    <x v="50"/>
    <x v="50"/>
    <x v="7"/>
    <x v="7"/>
    <x v="7"/>
    <x v="7"/>
    <x v="7"/>
    <x v="273"/>
    <x v="566"/>
    <x v="159"/>
    <x v="169"/>
    <x v="230"/>
    <x v="328"/>
    <x v="5"/>
    <x v="5"/>
  </r>
  <r>
    <x v="50"/>
    <x v="0"/>
    <x v="0"/>
    <x v="4"/>
    <x v="50"/>
    <x v="50"/>
    <x v="5"/>
    <x v="5"/>
    <x v="5"/>
    <x v="5"/>
    <x v="8"/>
    <x v="148"/>
    <x v="48"/>
    <x v="44"/>
    <x v="569"/>
    <x v="274"/>
    <x v="305"/>
    <x v="5"/>
    <x v="5"/>
  </r>
  <r>
    <x v="50"/>
    <x v="0"/>
    <x v="0"/>
    <x v="4"/>
    <x v="50"/>
    <x v="50"/>
    <x v="10"/>
    <x v="10"/>
    <x v="10"/>
    <x v="10"/>
    <x v="9"/>
    <x v="208"/>
    <x v="164"/>
    <x v="55"/>
    <x v="570"/>
    <x v="274"/>
    <x v="305"/>
    <x v="5"/>
    <x v="5"/>
  </r>
  <r>
    <x v="50"/>
    <x v="0"/>
    <x v="0"/>
    <x v="4"/>
    <x v="50"/>
    <x v="50"/>
    <x v="12"/>
    <x v="12"/>
    <x v="12"/>
    <x v="12"/>
    <x v="10"/>
    <x v="217"/>
    <x v="120"/>
    <x v="97"/>
    <x v="571"/>
    <x v="186"/>
    <x v="173"/>
    <x v="5"/>
    <x v="5"/>
  </r>
  <r>
    <x v="50"/>
    <x v="0"/>
    <x v="0"/>
    <x v="4"/>
    <x v="50"/>
    <x v="50"/>
    <x v="13"/>
    <x v="13"/>
    <x v="13"/>
    <x v="13"/>
    <x v="11"/>
    <x v="223"/>
    <x v="12"/>
    <x v="116"/>
    <x v="572"/>
    <x v="187"/>
    <x v="543"/>
    <x v="5"/>
    <x v="5"/>
  </r>
  <r>
    <x v="50"/>
    <x v="0"/>
    <x v="0"/>
    <x v="4"/>
    <x v="50"/>
    <x v="50"/>
    <x v="8"/>
    <x v="8"/>
    <x v="8"/>
    <x v="8"/>
    <x v="12"/>
    <x v="368"/>
    <x v="567"/>
    <x v="79"/>
    <x v="307"/>
    <x v="185"/>
    <x v="546"/>
    <x v="5"/>
    <x v="5"/>
  </r>
  <r>
    <x v="50"/>
    <x v="0"/>
    <x v="0"/>
    <x v="4"/>
    <x v="50"/>
    <x v="50"/>
    <x v="14"/>
    <x v="14"/>
    <x v="14"/>
    <x v="14"/>
    <x v="13"/>
    <x v="225"/>
    <x v="53"/>
    <x v="79"/>
    <x v="307"/>
    <x v="186"/>
    <x v="173"/>
    <x v="5"/>
    <x v="5"/>
  </r>
  <r>
    <x v="50"/>
    <x v="0"/>
    <x v="0"/>
    <x v="4"/>
    <x v="50"/>
    <x v="50"/>
    <x v="24"/>
    <x v="24"/>
    <x v="24"/>
    <x v="24"/>
    <x v="14"/>
    <x v="369"/>
    <x v="511"/>
    <x v="125"/>
    <x v="247"/>
    <x v="272"/>
    <x v="545"/>
    <x v="5"/>
    <x v="5"/>
  </r>
  <r>
    <x v="50"/>
    <x v="0"/>
    <x v="0"/>
    <x v="4"/>
    <x v="50"/>
    <x v="50"/>
    <x v="11"/>
    <x v="11"/>
    <x v="11"/>
    <x v="11"/>
    <x v="14"/>
    <x v="369"/>
    <x v="511"/>
    <x v="83"/>
    <x v="568"/>
    <x v="230"/>
    <x v="328"/>
    <x v="5"/>
    <x v="5"/>
  </r>
  <r>
    <x v="50"/>
    <x v="0"/>
    <x v="0"/>
    <x v="4"/>
    <x v="50"/>
    <x v="50"/>
    <x v="21"/>
    <x v="21"/>
    <x v="21"/>
    <x v="21"/>
    <x v="16"/>
    <x v="387"/>
    <x v="207"/>
    <x v="125"/>
    <x v="247"/>
    <x v="231"/>
    <x v="203"/>
    <x v="5"/>
    <x v="5"/>
  </r>
  <r>
    <x v="50"/>
    <x v="0"/>
    <x v="0"/>
    <x v="4"/>
    <x v="50"/>
    <x v="50"/>
    <x v="20"/>
    <x v="20"/>
    <x v="20"/>
    <x v="20"/>
    <x v="16"/>
    <x v="387"/>
    <x v="207"/>
    <x v="125"/>
    <x v="247"/>
    <x v="231"/>
    <x v="203"/>
    <x v="5"/>
    <x v="5"/>
  </r>
  <r>
    <x v="50"/>
    <x v="0"/>
    <x v="0"/>
    <x v="4"/>
    <x v="50"/>
    <x v="50"/>
    <x v="22"/>
    <x v="22"/>
    <x v="22"/>
    <x v="22"/>
    <x v="18"/>
    <x v="388"/>
    <x v="416"/>
    <x v="125"/>
    <x v="247"/>
    <x v="184"/>
    <x v="544"/>
    <x v="5"/>
    <x v="5"/>
  </r>
  <r>
    <x v="50"/>
    <x v="0"/>
    <x v="0"/>
    <x v="4"/>
    <x v="50"/>
    <x v="50"/>
    <x v="29"/>
    <x v="29"/>
    <x v="29"/>
    <x v="29"/>
    <x v="18"/>
    <x v="388"/>
    <x v="416"/>
    <x v="125"/>
    <x v="247"/>
    <x v="184"/>
    <x v="544"/>
    <x v="5"/>
    <x v="5"/>
  </r>
  <r>
    <x v="50"/>
    <x v="0"/>
    <x v="0"/>
    <x v="4"/>
    <x v="50"/>
    <x v="50"/>
    <x v="18"/>
    <x v="18"/>
    <x v="18"/>
    <x v="18"/>
    <x v="18"/>
    <x v="388"/>
    <x v="416"/>
    <x v="79"/>
    <x v="307"/>
    <x v="281"/>
    <x v="547"/>
    <x v="5"/>
    <x v="5"/>
  </r>
  <r>
    <x v="51"/>
    <x v="0"/>
    <x v="0"/>
    <x v="4"/>
    <x v="51"/>
    <x v="51"/>
    <x v="0"/>
    <x v="0"/>
    <x v="0"/>
    <x v="0"/>
    <x v="0"/>
    <x v="394"/>
    <x v="568"/>
    <x v="38"/>
    <x v="573"/>
    <x v="114"/>
    <x v="548"/>
    <x v="5"/>
    <x v="5"/>
  </r>
  <r>
    <x v="51"/>
    <x v="0"/>
    <x v="0"/>
    <x v="4"/>
    <x v="51"/>
    <x v="51"/>
    <x v="2"/>
    <x v="2"/>
    <x v="2"/>
    <x v="2"/>
    <x v="1"/>
    <x v="144"/>
    <x v="569"/>
    <x v="50"/>
    <x v="574"/>
    <x v="135"/>
    <x v="549"/>
    <x v="5"/>
    <x v="5"/>
  </r>
  <r>
    <x v="51"/>
    <x v="0"/>
    <x v="0"/>
    <x v="4"/>
    <x v="51"/>
    <x v="51"/>
    <x v="1"/>
    <x v="1"/>
    <x v="1"/>
    <x v="1"/>
    <x v="2"/>
    <x v="181"/>
    <x v="570"/>
    <x v="114"/>
    <x v="575"/>
    <x v="274"/>
    <x v="355"/>
    <x v="5"/>
    <x v="5"/>
  </r>
  <r>
    <x v="51"/>
    <x v="0"/>
    <x v="0"/>
    <x v="4"/>
    <x v="51"/>
    <x v="51"/>
    <x v="6"/>
    <x v="6"/>
    <x v="6"/>
    <x v="6"/>
    <x v="3"/>
    <x v="91"/>
    <x v="571"/>
    <x v="69"/>
    <x v="576"/>
    <x v="179"/>
    <x v="466"/>
    <x v="5"/>
    <x v="5"/>
  </r>
  <r>
    <x v="51"/>
    <x v="0"/>
    <x v="0"/>
    <x v="4"/>
    <x v="51"/>
    <x v="51"/>
    <x v="3"/>
    <x v="3"/>
    <x v="3"/>
    <x v="3"/>
    <x v="4"/>
    <x v="92"/>
    <x v="572"/>
    <x v="103"/>
    <x v="577"/>
    <x v="180"/>
    <x v="550"/>
    <x v="5"/>
    <x v="5"/>
  </r>
  <r>
    <x v="51"/>
    <x v="0"/>
    <x v="0"/>
    <x v="4"/>
    <x v="51"/>
    <x v="51"/>
    <x v="9"/>
    <x v="9"/>
    <x v="9"/>
    <x v="9"/>
    <x v="5"/>
    <x v="158"/>
    <x v="267"/>
    <x v="69"/>
    <x v="576"/>
    <x v="273"/>
    <x v="107"/>
    <x v="5"/>
    <x v="5"/>
  </r>
  <r>
    <x v="51"/>
    <x v="0"/>
    <x v="0"/>
    <x v="4"/>
    <x v="51"/>
    <x v="51"/>
    <x v="4"/>
    <x v="4"/>
    <x v="4"/>
    <x v="4"/>
    <x v="6"/>
    <x v="137"/>
    <x v="218"/>
    <x v="97"/>
    <x v="315"/>
    <x v="139"/>
    <x v="467"/>
    <x v="5"/>
    <x v="5"/>
  </r>
  <r>
    <x v="51"/>
    <x v="0"/>
    <x v="0"/>
    <x v="4"/>
    <x v="51"/>
    <x v="51"/>
    <x v="7"/>
    <x v="7"/>
    <x v="7"/>
    <x v="7"/>
    <x v="6"/>
    <x v="137"/>
    <x v="218"/>
    <x v="81"/>
    <x v="578"/>
    <x v="282"/>
    <x v="517"/>
    <x v="5"/>
    <x v="5"/>
  </r>
  <r>
    <x v="51"/>
    <x v="0"/>
    <x v="0"/>
    <x v="4"/>
    <x v="51"/>
    <x v="51"/>
    <x v="5"/>
    <x v="5"/>
    <x v="5"/>
    <x v="5"/>
    <x v="8"/>
    <x v="382"/>
    <x v="573"/>
    <x v="116"/>
    <x v="52"/>
    <x v="189"/>
    <x v="167"/>
    <x v="5"/>
    <x v="5"/>
  </r>
  <r>
    <x v="51"/>
    <x v="0"/>
    <x v="0"/>
    <x v="4"/>
    <x v="51"/>
    <x v="51"/>
    <x v="11"/>
    <x v="11"/>
    <x v="11"/>
    <x v="11"/>
    <x v="9"/>
    <x v="367"/>
    <x v="550"/>
    <x v="49"/>
    <x v="173"/>
    <x v="275"/>
    <x v="469"/>
    <x v="5"/>
    <x v="5"/>
  </r>
  <r>
    <x v="51"/>
    <x v="0"/>
    <x v="0"/>
    <x v="4"/>
    <x v="51"/>
    <x v="51"/>
    <x v="10"/>
    <x v="10"/>
    <x v="10"/>
    <x v="10"/>
    <x v="10"/>
    <x v="225"/>
    <x v="370"/>
    <x v="57"/>
    <x v="111"/>
    <x v="274"/>
    <x v="355"/>
    <x v="5"/>
    <x v="5"/>
  </r>
  <r>
    <x v="51"/>
    <x v="0"/>
    <x v="0"/>
    <x v="4"/>
    <x v="51"/>
    <x v="51"/>
    <x v="13"/>
    <x v="13"/>
    <x v="13"/>
    <x v="13"/>
    <x v="10"/>
    <x v="225"/>
    <x v="370"/>
    <x v="126"/>
    <x v="397"/>
    <x v="272"/>
    <x v="308"/>
    <x v="5"/>
    <x v="5"/>
  </r>
  <r>
    <x v="51"/>
    <x v="0"/>
    <x v="0"/>
    <x v="4"/>
    <x v="51"/>
    <x v="51"/>
    <x v="12"/>
    <x v="12"/>
    <x v="12"/>
    <x v="12"/>
    <x v="12"/>
    <x v="366"/>
    <x v="371"/>
    <x v="54"/>
    <x v="572"/>
    <x v="274"/>
    <x v="355"/>
    <x v="5"/>
    <x v="5"/>
  </r>
  <r>
    <x v="51"/>
    <x v="0"/>
    <x v="0"/>
    <x v="4"/>
    <x v="51"/>
    <x v="51"/>
    <x v="33"/>
    <x v="33"/>
    <x v="33"/>
    <x v="33"/>
    <x v="13"/>
    <x v="392"/>
    <x v="248"/>
    <x v="71"/>
    <x v="293"/>
    <x v="231"/>
    <x v="470"/>
    <x v="5"/>
    <x v="5"/>
  </r>
  <r>
    <x v="51"/>
    <x v="0"/>
    <x v="0"/>
    <x v="4"/>
    <x v="51"/>
    <x v="51"/>
    <x v="14"/>
    <x v="14"/>
    <x v="14"/>
    <x v="14"/>
    <x v="14"/>
    <x v="393"/>
    <x v="108"/>
    <x v="84"/>
    <x v="89"/>
    <x v="272"/>
    <x v="308"/>
    <x v="5"/>
    <x v="5"/>
  </r>
  <r>
    <x v="51"/>
    <x v="0"/>
    <x v="0"/>
    <x v="4"/>
    <x v="51"/>
    <x v="51"/>
    <x v="8"/>
    <x v="8"/>
    <x v="8"/>
    <x v="8"/>
    <x v="15"/>
    <x v="387"/>
    <x v="16"/>
    <x v="56"/>
    <x v="80"/>
    <x v="274"/>
    <x v="355"/>
    <x v="5"/>
    <x v="5"/>
  </r>
  <r>
    <x v="51"/>
    <x v="0"/>
    <x v="0"/>
    <x v="4"/>
    <x v="51"/>
    <x v="51"/>
    <x v="17"/>
    <x v="17"/>
    <x v="17"/>
    <x v="17"/>
    <x v="16"/>
    <x v="388"/>
    <x v="236"/>
    <x v="71"/>
    <x v="293"/>
    <x v="275"/>
    <x v="469"/>
    <x v="5"/>
    <x v="5"/>
  </r>
  <r>
    <x v="51"/>
    <x v="0"/>
    <x v="0"/>
    <x v="4"/>
    <x v="51"/>
    <x v="51"/>
    <x v="23"/>
    <x v="23"/>
    <x v="23"/>
    <x v="23"/>
    <x v="16"/>
    <x v="388"/>
    <x v="236"/>
    <x v="84"/>
    <x v="89"/>
    <x v="274"/>
    <x v="355"/>
    <x v="5"/>
    <x v="5"/>
  </r>
  <r>
    <x v="51"/>
    <x v="0"/>
    <x v="0"/>
    <x v="4"/>
    <x v="51"/>
    <x v="51"/>
    <x v="19"/>
    <x v="19"/>
    <x v="19"/>
    <x v="19"/>
    <x v="18"/>
    <x v="389"/>
    <x v="574"/>
    <x v="84"/>
    <x v="89"/>
    <x v="231"/>
    <x v="470"/>
    <x v="5"/>
    <x v="5"/>
  </r>
  <r>
    <x v="51"/>
    <x v="0"/>
    <x v="0"/>
    <x v="4"/>
    <x v="51"/>
    <x v="51"/>
    <x v="41"/>
    <x v="41"/>
    <x v="41"/>
    <x v="41"/>
    <x v="18"/>
    <x v="389"/>
    <x v="574"/>
    <x v="56"/>
    <x v="80"/>
    <x v="184"/>
    <x v="93"/>
    <x v="5"/>
    <x v="5"/>
  </r>
  <r>
    <x v="52"/>
    <x v="0"/>
    <x v="0"/>
    <x v="4"/>
    <x v="52"/>
    <x v="52"/>
    <x v="4"/>
    <x v="4"/>
    <x v="4"/>
    <x v="4"/>
    <x v="0"/>
    <x v="147"/>
    <x v="575"/>
    <x v="54"/>
    <x v="579"/>
    <x v="140"/>
    <x v="551"/>
    <x v="5"/>
    <x v="23"/>
  </r>
  <r>
    <x v="52"/>
    <x v="0"/>
    <x v="0"/>
    <x v="4"/>
    <x v="52"/>
    <x v="52"/>
    <x v="0"/>
    <x v="0"/>
    <x v="0"/>
    <x v="0"/>
    <x v="1"/>
    <x v="216"/>
    <x v="576"/>
    <x v="94"/>
    <x v="580"/>
    <x v="187"/>
    <x v="383"/>
    <x v="5"/>
    <x v="23"/>
  </r>
  <r>
    <x v="52"/>
    <x v="0"/>
    <x v="0"/>
    <x v="4"/>
    <x v="52"/>
    <x v="52"/>
    <x v="5"/>
    <x v="5"/>
    <x v="5"/>
    <x v="5"/>
    <x v="2"/>
    <x v="208"/>
    <x v="577"/>
    <x v="116"/>
    <x v="581"/>
    <x v="135"/>
    <x v="552"/>
    <x v="5"/>
    <x v="23"/>
  </r>
  <r>
    <x v="52"/>
    <x v="0"/>
    <x v="0"/>
    <x v="4"/>
    <x v="52"/>
    <x v="52"/>
    <x v="2"/>
    <x v="2"/>
    <x v="2"/>
    <x v="2"/>
    <x v="3"/>
    <x v="367"/>
    <x v="441"/>
    <x v="44"/>
    <x v="582"/>
    <x v="282"/>
    <x v="244"/>
    <x v="5"/>
    <x v="23"/>
  </r>
  <r>
    <x v="52"/>
    <x v="0"/>
    <x v="0"/>
    <x v="4"/>
    <x v="52"/>
    <x v="52"/>
    <x v="15"/>
    <x v="15"/>
    <x v="15"/>
    <x v="15"/>
    <x v="4"/>
    <x v="366"/>
    <x v="578"/>
    <x v="125"/>
    <x v="583"/>
    <x v="186"/>
    <x v="415"/>
    <x v="5"/>
    <x v="23"/>
  </r>
  <r>
    <x v="52"/>
    <x v="0"/>
    <x v="0"/>
    <x v="4"/>
    <x v="52"/>
    <x v="52"/>
    <x v="12"/>
    <x v="12"/>
    <x v="12"/>
    <x v="12"/>
    <x v="4"/>
    <x v="366"/>
    <x v="578"/>
    <x v="71"/>
    <x v="584"/>
    <x v="272"/>
    <x v="339"/>
    <x v="5"/>
    <x v="23"/>
  </r>
  <r>
    <x v="52"/>
    <x v="0"/>
    <x v="0"/>
    <x v="4"/>
    <x v="52"/>
    <x v="52"/>
    <x v="8"/>
    <x v="8"/>
    <x v="8"/>
    <x v="8"/>
    <x v="6"/>
    <x v="395"/>
    <x v="579"/>
    <x v="71"/>
    <x v="584"/>
    <x v="273"/>
    <x v="84"/>
    <x v="5"/>
    <x v="23"/>
  </r>
  <r>
    <x v="52"/>
    <x v="0"/>
    <x v="0"/>
    <x v="4"/>
    <x v="52"/>
    <x v="52"/>
    <x v="1"/>
    <x v="1"/>
    <x v="1"/>
    <x v="1"/>
    <x v="7"/>
    <x v="393"/>
    <x v="580"/>
    <x v="54"/>
    <x v="579"/>
    <x v="275"/>
    <x v="15"/>
    <x v="5"/>
    <x v="23"/>
  </r>
  <r>
    <x v="52"/>
    <x v="0"/>
    <x v="0"/>
    <x v="4"/>
    <x v="52"/>
    <x v="52"/>
    <x v="6"/>
    <x v="6"/>
    <x v="6"/>
    <x v="6"/>
    <x v="8"/>
    <x v="387"/>
    <x v="201"/>
    <x v="54"/>
    <x v="579"/>
    <x v="282"/>
    <x v="244"/>
    <x v="5"/>
    <x v="23"/>
  </r>
  <r>
    <x v="52"/>
    <x v="0"/>
    <x v="0"/>
    <x v="4"/>
    <x v="52"/>
    <x v="52"/>
    <x v="3"/>
    <x v="3"/>
    <x v="3"/>
    <x v="3"/>
    <x v="8"/>
    <x v="387"/>
    <x v="201"/>
    <x v="71"/>
    <x v="584"/>
    <x v="281"/>
    <x v="269"/>
    <x v="5"/>
    <x v="23"/>
  </r>
  <r>
    <x v="52"/>
    <x v="0"/>
    <x v="0"/>
    <x v="4"/>
    <x v="52"/>
    <x v="52"/>
    <x v="19"/>
    <x v="19"/>
    <x v="19"/>
    <x v="19"/>
    <x v="10"/>
    <x v="388"/>
    <x v="87"/>
    <x v="79"/>
    <x v="585"/>
    <x v="281"/>
    <x v="269"/>
    <x v="5"/>
    <x v="23"/>
  </r>
  <r>
    <x v="52"/>
    <x v="0"/>
    <x v="0"/>
    <x v="4"/>
    <x v="52"/>
    <x v="52"/>
    <x v="33"/>
    <x v="33"/>
    <x v="33"/>
    <x v="33"/>
    <x v="10"/>
    <x v="388"/>
    <x v="87"/>
    <x v="56"/>
    <x v="325"/>
    <x v="231"/>
    <x v="256"/>
    <x v="5"/>
    <x v="23"/>
  </r>
  <r>
    <x v="52"/>
    <x v="0"/>
    <x v="0"/>
    <x v="4"/>
    <x v="52"/>
    <x v="52"/>
    <x v="32"/>
    <x v="32"/>
    <x v="32"/>
    <x v="32"/>
    <x v="10"/>
    <x v="388"/>
    <x v="87"/>
    <x v="125"/>
    <x v="583"/>
    <x v="184"/>
    <x v="427"/>
    <x v="5"/>
    <x v="23"/>
  </r>
  <r>
    <x v="52"/>
    <x v="0"/>
    <x v="0"/>
    <x v="4"/>
    <x v="52"/>
    <x v="52"/>
    <x v="38"/>
    <x v="38"/>
    <x v="38"/>
    <x v="38"/>
    <x v="13"/>
    <x v="389"/>
    <x v="581"/>
    <x v="125"/>
    <x v="583"/>
    <x v="281"/>
    <x v="269"/>
    <x v="5"/>
    <x v="23"/>
  </r>
  <r>
    <x v="52"/>
    <x v="0"/>
    <x v="0"/>
    <x v="4"/>
    <x v="52"/>
    <x v="52"/>
    <x v="21"/>
    <x v="21"/>
    <x v="21"/>
    <x v="21"/>
    <x v="13"/>
    <x v="389"/>
    <x v="581"/>
    <x v="56"/>
    <x v="325"/>
    <x v="184"/>
    <x v="427"/>
    <x v="5"/>
    <x v="23"/>
  </r>
  <r>
    <x v="52"/>
    <x v="0"/>
    <x v="0"/>
    <x v="4"/>
    <x v="52"/>
    <x v="52"/>
    <x v="22"/>
    <x v="22"/>
    <x v="22"/>
    <x v="22"/>
    <x v="15"/>
    <x v="396"/>
    <x v="272"/>
    <x v="125"/>
    <x v="583"/>
    <x v="275"/>
    <x v="15"/>
    <x v="5"/>
    <x v="23"/>
  </r>
  <r>
    <x v="52"/>
    <x v="0"/>
    <x v="0"/>
    <x v="4"/>
    <x v="52"/>
    <x v="52"/>
    <x v="7"/>
    <x v="7"/>
    <x v="7"/>
    <x v="7"/>
    <x v="15"/>
    <x v="396"/>
    <x v="272"/>
    <x v="71"/>
    <x v="584"/>
    <x v="171"/>
    <x v="315"/>
    <x v="5"/>
    <x v="23"/>
  </r>
  <r>
    <x v="52"/>
    <x v="0"/>
    <x v="0"/>
    <x v="4"/>
    <x v="52"/>
    <x v="52"/>
    <x v="39"/>
    <x v="39"/>
    <x v="39"/>
    <x v="39"/>
    <x v="17"/>
    <x v="397"/>
    <x v="582"/>
    <x v="79"/>
    <x v="585"/>
    <x v="171"/>
    <x v="315"/>
    <x v="5"/>
    <x v="23"/>
  </r>
  <r>
    <x v="52"/>
    <x v="0"/>
    <x v="0"/>
    <x v="4"/>
    <x v="52"/>
    <x v="52"/>
    <x v="14"/>
    <x v="14"/>
    <x v="14"/>
    <x v="14"/>
    <x v="17"/>
    <x v="397"/>
    <x v="582"/>
    <x v="56"/>
    <x v="325"/>
    <x v="275"/>
    <x v="15"/>
    <x v="5"/>
    <x v="23"/>
  </r>
  <r>
    <x v="52"/>
    <x v="0"/>
    <x v="0"/>
    <x v="4"/>
    <x v="52"/>
    <x v="52"/>
    <x v="13"/>
    <x v="13"/>
    <x v="13"/>
    <x v="13"/>
    <x v="17"/>
    <x v="397"/>
    <x v="582"/>
    <x v="84"/>
    <x v="89"/>
    <x v="281"/>
    <x v="269"/>
    <x v="5"/>
    <x v="23"/>
  </r>
  <r>
    <x v="52"/>
    <x v="0"/>
    <x v="0"/>
    <x v="4"/>
    <x v="52"/>
    <x v="52"/>
    <x v="9"/>
    <x v="9"/>
    <x v="9"/>
    <x v="9"/>
    <x v="17"/>
    <x v="397"/>
    <x v="582"/>
    <x v="79"/>
    <x v="585"/>
    <x v="171"/>
    <x v="315"/>
    <x v="5"/>
    <x v="23"/>
  </r>
  <r>
    <x v="53"/>
    <x v="0"/>
    <x v="0"/>
    <x v="4"/>
    <x v="53"/>
    <x v="53"/>
    <x v="0"/>
    <x v="0"/>
    <x v="0"/>
    <x v="0"/>
    <x v="0"/>
    <x v="87"/>
    <x v="583"/>
    <x v="274"/>
    <x v="586"/>
    <x v="140"/>
    <x v="553"/>
    <x v="5"/>
    <x v="5"/>
  </r>
  <r>
    <x v="53"/>
    <x v="0"/>
    <x v="0"/>
    <x v="4"/>
    <x v="53"/>
    <x v="53"/>
    <x v="1"/>
    <x v="1"/>
    <x v="1"/>
    <x v="1"/>
    <x v="1"/>
    <x v="157"/>
    <x v="146"/>
    <x v="160"/>
    <x v="587"/>
    <x v="275"/>
    <x v="37"/>
    <x v="8"/>
    <x v="28"/>
  </r>
  <r>
    <x v="53"/>
    <x v="0"/>
    <x v="0"/>
    <x v="4"/>
    <x v="53"/>
    <x v="53"/>
    <x v="4"/>
    <x v="4"/>
    <x v="4"/>
    <x v="4"/>
    <x v="2"/>
    <x v="135"/>
    <x v="584"/>
    <x v="94"/>
    <x v="588"/>
    <x v="180"/>
    <x v="554"/>
    <x v="5"/>
    <x v="5"/>
  </r>
  <r>
    <x v="53"/>
    <x v="0"/>
    <x v="0"/>
    <x v="4"/>
    <x v="53"/>
    <x v="53"/>
    <x v="2"/>
    <x v="2"/>
    <x v="2"/>
    <x v="2"/>
    <x v="3"/>
    <x v="147"/>
    <x v="585"/>
    <x v="137"/>
    <x v="589"/>
    <x v="281"/>
    <x v="195"/>
    <x v="5"/>
    <x v="5"/>
  </r>
  <r>
    <x v="53"/>
    <x v="0"/>
    <x v="0"/>
    <x v="4"/>
    <x v="53"/>
    <x v="53"/>
    <x v="5"/>
    <x v="5"/>
    <x v="5"/>
    <x v="5"/>
    <x v="4"/>
    <x v="148"/>
    <x v="586"/>
    <x v="94"/>
    <x v="588"/>
    <x v="186"/>
    <x v="169"/>
    <x v="5"/>
    <x v="5"/>
  </r>
  <r>
    <x v="53"/>
    <x v="0"/>
    <x v="0"/>
    <x v="4"/>
    <x v="53"/>
    <x v="53"/>
    <x v="8"/>
    <x v="8"/>
    <x v="8"/>
    <x v="8"/>
    <x v="5"/>
    <x v="224"/>
    <x v="587"/>
    <x v="79"/>
    <x v="332"/>
    <x v="135"/>
    <x v="555"/>
    <x v="5"/>
    <x v="5"/>
  </r>
  <r>
    <x v="53"/>
    <x v="0"/>
    <x v="0"/>
    <x v="4"/>
    <x v="53"/>
    <x v="53"/>
    <x v="6"/>
    <x v="6"/>
    <x v="6"/>
    <x v="6"/>
    <x v="6"/>
    <x v="365"/>
    <x v="566"/>
    <x v="94"/>
    <x v="588"/>
    <x v="275"/>
    <x v="37"/>
    <x v="5"/>
    <x v="5"/>
  </r>
  <r>
    <x v="53"/>
    <x v="0"/>
    <x v="0"/>
    <x v="4"/>
    <x v="53"/>
    <x v="53"/>
    <x v="3"/>
    <x v="3"/>
    <x v="3"/>
    <x v="3"/>
    <x v="7"/>
    <x v="225"/>
    <x v="588"/>
    <x v="116"/>
    <x v="590"/>
    <x v="231"/>
    <x v="33"/>
    <x v="5"/>
    <x v="5"/>
  </r>
  <r>
    <x v="53"/>
    <x v="0"/>
    <x v="0"/>
    <x v="4"/>
    <x v="53"/>
    <x v="53"/>
    <x v="7"/>
    <x v="7"/>
    <x v="7"/>
    <x v="7"/>
    <x v="7"/>
    <x v="225"/>
    <x v="588"/>
    <x v="83"/>
    <x v="591"/>
    <x v="275"/>
    <x v="37"/>
    <x v="5"/>
    <x v="5"/>
  </r>
  <r>
    <x v="53"/>
    <x v="0"/>
    <x v="0"/>
    <x v="4"/>
    <x v="53"/>
    <x v="53"/>
    <x v="12"/>
    <x v="12"/>
    <x v="12"/>
    <x v="12"/>
    <x v="9"/>
    <x v="366"/>
    <x v="559"/>
    <x v="97"/>
    <x v="592"/>
    <x v="281"/>
    <x v="195"/>
    <x v="5"/>
    <x v="5"/>
  </r>
  <r>
    <x v="53"/>
    <x v="0"/>
    <x v="0"/>
    <x v="4"/>
    <x v="53"/>
    <x v="53"/>
    <x v="9"/>
    <x v="9"/>
    <x v="9"/>
    <x v="9"/>
    <x v="10"/>
    <x v="393"/>
    <x v="396"/>
    <x v="116"/>
    <x v="590"/>
    <x v="171"/>
    <x v="556"/>
    <x v="5"/>
    <x v="5"/>
  </r>
  <r>
    <x v="53"/>
    <x v="0"/>
    <x v="0"/>
    <x v="4"/>
    <x v="53"/>
    <x v="53"/>
    <x v="21"/>
    <x v="21"/>
    <x v="21"/>
    <x v="21"/>
    <x v="11"/>
    <x v="388"/>
    <x v="324"/>
    <x v="79"/>
    <x v="332"/>
    <x v="281"/>
    <x v="195"/>
    <x v="5"/>
    <x v="5"/>
  </r>
  <r>
    <x v="53"/>
    <x v="0"/>
    <x v="0"/>
    <x v="4"/>
    <x v="53"/>
    <x v="53"/>
    <x v="13"/>
    <x v="13"/>
    <x v="13"/>
    <x v="13"/>
    <x v="11"/>
    <x v="388"/>
    <x v="324"/>
    <x v="71"/>
    <x v="32"/>
    <x v="275"/>
    <x v="37"/>
    <x v="5"/>
    <x v="5"/>
  </r>
  <r>
    <x v="53"/>
    <x v="0"/>
    <x v="0"/>
    <x v="4"/>
    <x v="53"/>
    <x v="53"/>
    <x v="18"/>
    <x v="18"/>
    <x v="18"/>
    <x v="18"/>
    <x v="11"/>
    <x v="388"/>
    <x v="324"/>
    <x v="125"/>
    <x v="342"/>
    <x v="184"/>
    <x v="428"/>
    <x v="5"/>
    <x v="5"/>
  </r>
  <r>
    <x v="53"/>
    <x v="0"/>
    <x v="0"/>
    <x v="4"/>
    <x v="53"/>
    <x v="53"/>
    <x v="37"/>
    <x v="37"/>
    <x v="37"/>
    <x v="37"/>
    <x v="14"/>
    <x v="389"/>
    <x v="415"/>
    <x v="79"/>
    <x v="332"/>
    <x v="275"/>
    <x v="37"/>
    <x v="5"/>
    <x v="5"/>
  </r>
  <r>
    <x v="53"/>
    <x v="0"/>
    <x v="0"/>
    <x v="4"/>
    <x v="53"/>
    <x v="53"/>
    <x v="20"/>
    <x v="20"/>
    <x v="20"/>
    <x v="20"/>
    <x v="14"/>
    <x v="389"/>
    <x v="415"/>
    <x v="125"/>
    <x v="342"/>
    <x v="281"/>
    <x v="195"/>
    <x v="5"/>
    <x v="5"/>
  </r>
  <r>
    <x v="53"/>
    <x v="0"/>
    <x v="0"/>
    <x v="4"/>
    <x v="53"/>
    <x v="53"/>
    <x v="31"/>
    <x v="31"/>
    <x v="31"/>
    <x v="31"/>
    <x v="14"/>
    <x v="389"/>
    <x v="415"/>
    <x v="125"/>
    <x v="342"/>
    <x v="281"/>
    <x v="195"/>
    <x v="5"/>
    <x v="5"/>
  </r>
  <r>
    <x v="53"/>
    <x v="0"/>
    <x v="0"/>
    <x v="4"/>
    <x v="53"/>
    <x v="53"/>
    <x v="11"/>
    <x v="11"/>
    <x v="11"/>
    <x v="11"/>
    <x v="17"/>
    <x v="396"/>
    <x v="154"/>
    <x v="71"/>
    <x v="32"/>
    <x v="171"/>
    <x v="556"/>
    <x v="5"/>
    <x v="5"/>
  </r>
  <r>
    <x v="53"/>
    <x v="0"/>
    <x v="0"/>
    <x v="4"/>
    <x v="53"/>
    <x v="53"/>
    <x v="10"/>
    <x v="10"/>
    <x v="10"/>
    <x v="10"/>
    <x v="17"/>
    <x v="396"/>
    <x v="154"/>
    <x v="125"/>
    <x v="342"/>
    <x v="275"/>
    <x v="37"/>
    <x v="5"/>
    <x v="5"/>
  </r>
  <r>
    <x v="53"/>
    <x v="0"/>
    <x v="0"/>
    <x v="4"/>
    <x v="53"/>
    <x v="53"/>
    <x v="17"/>
    <x v="17"/>
    <x v="17"/>
    <x v="17"/>
    <x v="19"/>
    <x v="397"/>
    <x v="491"/>
    <x v="56"/>
    <x v="19"/>
    <x v="275"/>
    <x v="37"/>
    <x v="5"/>
    <x v="5"/>
  </r>
  <r>
    <x v="53"/>
    <x v="0"/>
    <x v="0"/>
    <x v="4"/>
    <x v="53"/>
    <x v="53"/>
    <x v="23"/>
    <x v="23"/>
    <x v="23"/>
    <x v="23"/>
    <x v="19"/>
    <x v="397"/>
    <x v="491"/>
    <x v="84"/>
    <x v="89"/>
    <x v="281"/>
    <x v="195"/>
    <x v="5"/>
    <x v="5"/>
  </r>
  <r>
    <x v="53"/>
    <x v="0"/>
    <x v="0"/>
    <x v="4"/>
    <x v="53"/>
    <x v="53"/>
    <x v="32"/>
    <x v="32"/>
    <x v="32"/>
    <x v="32"/>
    <x v="19"/>
    <x v="397"/>
    <x v="491"/>
    <x v="125"/>
    <x v="342"/>
    <x v="282"/>
    <x v="258"/>
    <x v="5"/>
    <x v="5"/>
  </r>
  <r>
    <x v="54"/>
    <x v="0"/>
    <x v="0"/>
    <x v="4"/>
    <x v="54"/>
    <x v="54"/>
    <x v="0"/>
    <x v="0"/>
    <x v="0"/>
    <x v="0"/>
    <x v="0"/>
    <x v="321"/>
    <x v="589"/>
    <x v="281"/>
    <x v="593"/>
    <x v="179"/>
    <x v="557"/>
    <x v="5"/>
    <x v="23"/>
  </r>
  <r>
    <x v="54"/>
    <x v="0"/>
    <x v="0"/>
    <x v="4"/>
    <x v="54"/>
    <x v="54"/>
    <x v="1"/>
    <x v="1"/>
    <x v="1"/>
    <x v="1"/>
    <x v="1"/>
    <x v="157"/>
    <x v="575"/>
    <x v="160"/>
    <x v="594"/>
    <x v="281"/>
    <x v="558"/>
    <x v="5"/>
    <x v="23"/>
  </r>
  <r>
    <x v="54"/>
    <x v="0"/>
    <x v="0"/>
    <x v="4"/>
    <x v="54"/>
    <x v="54"/>
    <x v="2"/>
    <x v="2"/>
    <x v="2"/>
    <x v="2"/>
    <x v="2"/>
    <x v="289"/>
    <x v="553"/>
    <x v="95"/>
    <x v="595"/>
    <x v="230"/>
    <x v="328"/>
    <x v="5"/>
    <x v="23"/>
  </r>
  <r>
    <x v="54"/>
    <x v="0"/>
    <x v="0"/>
    <x v="4"/>
    <x v="54"/>
    <x v="54"/>
    <x v="3"/>
    <x v="3"/>
    <x v="3"/>
    <x v="3"/>
    <x v="3"/>
    <x v="367"/>
    <x v="385"/>
    <x v="83"/>
    <x v="256"/>
    <x v="273"/>
    <x v="559"/>
    <x v="5"/>
    <x v="23"/>
  </r>
  <r>
    <x v="54"/>
    <x v="0"/>
    <x v="0"/>
    <x v="4"/>
    <x v="54"/>
    <x v="54"/>
    <x v="4"/>
    <x v="4"/>
    <x v="4"/>
    <x v="4"/>
    <x v="4"/>
    <x v="223"/>
    <x v="477"/>
    <x v="54"/>
    <x v="448"/>
    <x v="185"/>
    <x v="560"/>
    <x v="5"/>
    <x v="23"/>
  </r>
  <r>
    <x v="54"/>
    <x v="0"/>
    <x v="0"/>
    <x v="4"/>
    <x v="54"/>
    <x v="54"/>
    <x v="6"/>
    <x v="6"/>
    <x v="6"/>
    <x v="6"/>
    <x v="5"/>
    <x v="368"/>
    <x v="587"/>
    <x v="83"/>
    <x v="256"/>
    <x v="281"/>
    <x v="558"/>
    <x v="5"/>
    <x v="23"/>
  </r>
  <r>
    <x v="54"/>
    <x v="0"/>
    <x v="0"/>
    <x v="4"/>
    <x v="54"/>
    <x v="54"/>
    <x v="5"/>
    <x v="5"/>
    <x v="5"/>
    <x v="5"/>
    <x v="6"/>
    <x v="395"/>
    <x v="100"/>
    <x v="116"/>
    <x v="596"/>
    <x v="281"/>
    <x v="558"/>
    <x v="5"/>
    <x v="23"/>
  </r>
  <r>
    <x v="54"/>
    <x v="0"/>
    <x v="0"/>
    <x v="4"/>
    <x v="54"/>
    <x v="54"/>
    <x v="13"/>
    <x v="13"/>
    <x v="13"/>
    <x v="13"/>
    <x v="7"/>
    <x v="393"/>
    <x v="590"/>
    <x v="79"/>
    <x v="171"/>
    <x v="231"/>
    <x v="561"/>
    <x v="5"/>
    <x v="23"/>
  </r>
  <r>
    <x v="54"/>
    <x v="0"/>
    <x v="0"/>
    <x v="4"/>
    <x v="54"/>
    <x v="54"/>
    <x v="8"/>
    <x v="8"/>
    <x v="8"/>
    <x v="8"/>
    <x v="8"/>
    <x v="387"/>
    <x v="123"/>
    <x v="79"/>
    <x v="171"/>
    <x v="184"/>
    <x v="562"/>
    <x v="5"/>
    <x v="23"/>
  </r>
  <r>
    <x v="54"/>
    <x v="0"/>
    <x v="0"/>
    <x v="4"/>
    <x v="54"/>
    <x v="54"/>
    <x v="11"/>
    <x v="11"/>
    <x v="11"/>
    <x v="11"/>
    <x v="8"/>
    <x v="387"/>
    <x v="123"/>
    <x v="54"/>
    <x v="448"/>
    <x v="282"/>
    <x v="445"/>
    <x v="5"/>
    <x v="23"/>
  </r>
  <r>
    <x v="54"/>
    <x v="0"/>
    <x v="0"/>
    <x v="4"/>
    <x v="54"/>
    <x v="54"/>
    <x v="9"/>
    <x v="9"/>
    <x v="9"/>
    <x v="9"/>
    <x v="8"/>
    <x v="387"/>
    <x v="123"/>
    <x v="126"/>
    <x v="525"/>
    <x v="275"/>
    <x v="563"/>
    <x v="5"/>
    <x v="23"/>
  </r>
  <r>
    <x v="54"/>
    <x v="0"/>
    <x v="0"/>
    <x v="4"/>
    <x v="54"/>
    <x v="54"/>
    <x v="7"/>
    <x v="7"/>
    <x v="7"/>
    <x v="7"/>
    <x v="8"/>
    <x v="387"/>
    <x v="123"/>
    <x v="57"/>
    <x v="597"/>
    <x v="171"/>
    <x v="564"/>
    <x v="5"/>
    <x v="23"/>
  </r>
  <r>
    <x v="54"/>
    <x v="0"/>
    <x v="0"/>
    <x v="4"/>
    <x v="54"/>
    <x v="54"/>
    <x v="10"/>
    <x v="10"/>
    <x v="10"/>
    <x v="10"/>
    <x v="12"/>
    <x v="389"/>
    <x v="591"/>
    <x v="71"/>
    <x v="24"/>
    <x v="282"/>
    <x v="445"/>
    <x v="5"/>
    <x v="23"/>
  </r>
  <r>
    <x v="54"/>
    <x v="0"/>
    <x v="0"/>
    <x v="4"/>
    <x v="54"/>
    <x v="54"/>
    <x v="26"/>
    <x v="26"/>
    <x v="26"/>
    <x v="26"/>
    <x v="12"/>
    <x v="389"/>
    <x v="591"/>
    <x v="71"/>
    <x v="24"/>
    <x v="282"/>
    <x v="445"/>
    <x v="5"/>
    <x v="23"/>
  </r>
  <r>
    <x v="54"/>
    <x v="0"/>
    <x v="0"/>
    <x v="4"/>
    <x v="54"/>
    <x v="54"/>
    <x v="41"/>
    <x v="41"/>
    <x v="41"/>
    <x v="41"/>
    <x v="12"/>
    <x v="389"/>
    <x v="591"/>
    <x v="56"/>
    <x v="19"/>
    <x v="184"/>
    <x v="562"/>
    <x v="5"/>
    <x v="23"/>
  </r>
  <r>
    <x v="54"/>
    <x v="0"/>
    <x v="0"/>
    <x v="4"/>
    <x v="54"/>
    <x v="54"/>
    <x v="32"/>
    <x v="32"/>
    <x v="32"/>
    <x v="32"/>
    <x v="12"/>
    <x v="389"/>
    <x v="591"/>
    <x v="125"/>
    <x v="598"/>
    <x v="281"/>
    <x v="558"/>
    <x v="5"/>
    <x v="23"/>
  </r>
  <r>
    <x v="54"/>
    <x v="0"/>
    <x v="0"/>
    <x v="4"/>
    <x v="54"/>
    <x v="54"/>
    <x v="12"/>
    <x v="12"/>
    <x v="12"/>
    <x v="12"/>
    <x v="16"/>
    <x v="396"/>
    <x v="592"/>
    <x v="71"/>
    <x v="24"/>
    <x v="171"/>
    <x v="564"/>
    <x v="5"/>
    <x v="23"/>
  </r>
  <r>
    <x v="54"/>
    <x v="0"/>
    <x v="0"/>
    <x v="4"/>
    <x v="54"/>
    <x v="54"/>
    <x v="21"/>
    <x v="21"/>
    <x v="21"/>
    <x v="21"/>
    <x v="17"/>
    <x v="397"/>
    <x v="340"/>
    <x v="79"/>
    <x v="171"/>
    <x v="171"/>
    <x v="564"/>
    <x v="5"/>
    <x v="23"/>
  </r>
  <r>
    <x v="54"/>
    <x v="0"/>
    <x v="0"/>
    <x v="4"/>
    <x v="54"/>
    <x v="54"/>
    <x v="20"/>
    <x v="20"/>
    <x v="20"/>
    <x v="20"/>
    <x v="17"/>
    <x v="397"/>
    <x v="340"/>
    <x v="56"/>
    <x v="19"/>
    <x v="275"/>
    <x v="563"/>
    <x v="5"/>
    <x v="23"/>
  </r>
  <r>
    <x v="54"/>
    <x v="0"/>
    <x v="0"/>
    <x v="4"/>
    <x v="54"/>
    <x v="54"/>
    <x v="14"/>
    <x v="14"/>
    <x v="14"/>
    <x v="14"/>
    <x v="19"/>
    <x v="398"/>
    <x v="450"/>
    <x v="84"/>
    <x v="89"/>
    <x v="275"/>
    <x v="563"/>
    <x v="5"/>
    <x v="23"/>
  </r>
  <r>
    <x v="54"/>
    <x v="0"/>
    <x v="0"/>
    <x v="4"/>
    <x v="54"/>
    <x v="54"/>
    <x v="31"/>
    <x v="31"/>
    <x v="31"/>
    <x v="31"/>
    <x v="19"/>
    <x v="398"/>
    <x v="450"/>
    <x v="125"/>
    <x v="598"/>
    <x v="171"/>
    <x v="564"/>
    <x v="5"/>
    <x v="23"/>
  </r>
  <r>
    <x v="55"/>
    <x v="0"/>
    <x v="0"/>
    <x v="4"/>
    <x v="55"/>
    <x v="55"/>
    <x v="6"/>
    <x v="6"/>
    <x v="6"/>
    <x v="6"/>
    <x v="0"/>
    <x v="147"/>
    <x v="593"/>
    <x v="103"/>
    <x v="599"/>
    <x v="273"/>
    <x v="565"/>
    <x v="5"/>
    <x v="5"/>
  </r>
  <r>
    <x v="55"/>
    <x v="0"/>
    <x v="0"/>
    <x v="4"/>
    <x v="55"/>
    <x v="55"/>
    <x v="4"/>
    <x v="4"/>
    <x v="4"/>
    <x v="4"/>
    <x v="1"/>
    <x v="289"/>
    <x v="532"/>
    <x v="57"/>
    <x v="500"/>
    <x v="114"/>
    <x v="566"/>
    <x v="5"/>
    <x v="5"/>
  </r>
  <r>
    <x v="55"/>
    <x v="0"/>
    <x v="0"/>
    <x v="4"/>
    <x v="55"/>
    <x v="55"/>
    <x v="3"/>
    <x v="3"/>
    <x v="3"/>
    <x v="3"/>
    <x v="2"/>
    <x v="148"/>
    <x v="594"/>
    <x v="44"/>
    <x v="600"/>
    <x v="274"/>
    <x v="183"/>
    <x v="5"/>
    <x v="5"/>
  </r>
  <r>
    <x v="55"/>
    <x v="0"/>
    <x v="0"/>
    <x v="4"/>
    <x v="55"/>
    <x v="55"/>
    <x v="0"/>
    <x v="0"/>
    <x v="0"/>
    <x v="0"/>
    <x v="2"/>
    <x v="148"/>
    <x v="594"/>
    <x v="44"/>
    <x v="600"/>
    <x v="274"/>
    <x v="183"/>
    <x v="5"/>
    <x v="5"/>
  </r>
  <r>
    <x v="55"/>
    <x v="0"/>
    <x v="0"/>
    <x v="4"/>
    <x v="55"/>
    <x v="55"/>
    <x v="2"/>
    <x v="2"/>
    <x v="2"/>
    <x v="2"/>
    <x v="4"/>
    <x v="216"/>
    <x v="595"/>
    <x v="53"/>
    <x v="601"/>
    <x v="282"/>
    <x v="370"/>
    <x v="5"/>
    <x v="5"/>
  </r>
  <r>
    <x v="55"/>
    <x v="0"/>
    <x v="0"/>
    <x v="4"/>
    <x v="55"/>
    <x v="55"/>
    <x v="1"/>
    <x v="1"/>
    <x v="1"/>
    <x v="1"/>
    <x v="5"/>
    <x v="223"/>
    <x v="596"/>
    <x v="94"/>
    <x v="602"/>
    <x v="184"/>
    <x v="224"/>
    <x v="5"/>
    <x v="5"/>
  </r>
  <r>
    <x v="55"/>
    <x v="0"/>
    <x v="0"/>
    <x v="4"/>
    <x v="55"/>
    <x v="55"/>
    <x v="5"/>
    <x v="5"/>
    <x v="5"/>
    <x v="5"/>
    <x v="6"/>
    <x v="224"/>
    <x v="597"/>
    <x v="71"/>
    <x v="391"/>
    <x v="189"/>
    <x v="567"/>
    <x v="5"/>
    <x v="5"/>
  </r>
  <r>
    <x v="55"/>
    <x v="0"/>
    <x v="0"/>
    <x v="4"/>
    <x v="55"/>
    <x v="55"/>
    <x v="9"/>
    <x v="9"/>
    <x v="9"/>
    <x v="9"/>
    <x v="7"/>
    <x v="395"/>
    <x v="26"/>
    <x v="82"/>
    <x v="435"/>
    <x v="282"/>
    <x v="370"/>
    <x v="5"/>
    <x v="5"/>
  </r>
  <r>
    <x v="55"/>
    <x v="0"/>
    <x v="0"/>
    <x v="4"/>
    <x v="55"/>
    <x v="55"/>
    <x v="8"/>
    <x v="8"/>
    <x v="8"/>
    <x v="8"/>
    <x v="8"/>
    <x v="369"/>
    <x v="423"/>
    <x v="71"/>
    <x v="391"/>
    <x v="274"/>
    <x v="183"/>
    <x v="5"/>
    <x v="5"/>
  </r>
  <r>
    <x v="55"/>
    <x v="0"/>
    <x v="0"/>
    <x v="4"/>
    <x v="55"/>
    <x v="55"/>
    <x v="12"/>
    <x v="12"/>
    <x v="12"/>
    <x v="12"/>
    <x v="9"/>
    <x v="392"/>
    <x v="598"/>
    <x v="126"/>
    <x v="603"/>
    <x v="184"/>
    <x v="224"/>
    <x v="5"/>
    <x v="5"/>
  </r>
  <r>
    <x v="55"/>
    <x v="0"/>
    <x v="0"/>
    <x v="4"/>
    <x v="55"/>
    <x v="55"/>
    <x v="26"/>
    <x v="26"/>
    <x v="26"/>
    <x v="26"/>
    <x v="10"/>
    <x v="387"/>
    <x v="151"/>
    <x v="57"/>
    <x v="500"/>
    <x v="171"/>
    <x v="223"/>
    <x v="5"/>
    <x v="5"/>
  </r>
  <r>
    <x v="55"/>
    <x v="0"/>
    <x v="0"/>
    <x v="4"/>
    <x v="55"/>
    <x v="55"/>
    <x v="11"/>
    <x v="11"/>
    <x v="11"/>
    <x v="11"/>
    <x v="11"/>
    <x v="388"/>
    <x v="388"/>
    <x v="126"/>
    <x v="603"/>
    <x v="282"/>
    <x v="370"/>
    <x v="5"/>
    <x v="5"/>
  </r>
  <r>
    <x v="55"/>
    <x v="0"/>
    <x v="0"/>
    <x v="4"/>
    <x v="55"/>
    <x v="55"/>
    <x v="32"/>
    <x v="32"/>
    <x v="32"/>
    <x v="32"/>
    <x v="11"/>
    <x v="388"/>
    <x v="388"/>
    <x v="79"/>
    <x v="513"/>
    <x v="281"/>
    <x v="568"/>
    <x v="5"/>
    <x v="5"/>
  </r>
  <r>
    <x v="55"/>
    <x v="0"/>
    <x v="0"/>
    <x v="4"/>
    <x v="55"/>
    <x v="55"/>
    <x v="20"/>
    <x v="20"/>
    <x v="20"/>
    <x v="20"/>
    <x v="13"/>
    <x v="396"/>
    <x v="92"/>
    <x v="84"/>
    <x v="89"/>
    <x v="184"/>
    <x v="224"/>
    <x v="5"/>
    <x v="5"/>
  </r>
  <r>
    <x v="55"/>
    <x v="0"/>
    <x v="0"/>
    <x v="4"/>
    <x v="55"/>
    <x v="55"/>
    <x v="38"/>
    <x v="38"/>
    <x v="38"/>
    <x v="38"/>
    <x v="14"/>
    <x v="397"/>
    <x v="471"/>
    <x v="56"/>
    <x v="318"/>
    <x v="275"/>
    <x v="249"/>
    <x v="5"/>
    <x v="5"/>
  </r>
  <r>
    <x v="55"/>
    <x v="0"/>
    <x v="0"/>
    <x v="4"/>
    <x v="55"/>
    <x v="55"/>
    <x v="15"/>
    <x v="15"/>
    <x v="15"/>
    <x v="15"/>
    <x v="14"/>
    <x v="397"/>
    <x v="471"/>
    <x v="56"/>
    <x v="318"/>
    <x v="275"/>
    <x v="249"/>
    <x v="5"/>
    <x v="5"/>
  </r>
  <r>
    <x v="55"/>
    <x v="0"/>
    <x v="0"/>
    <x v="4"/>
    <x v="55"/>
    <x v="55"/>
    <x v="40"/>
    <x v="40"/>
    <x v="40"/>
    <x v="40"/>
    <x v="14"/>
    <x v="397"/>
    <x v="471"/>
    <x v="84"/>
    <x v="89"/>
    <x v="281"/>
    <x v="568"/>
    <x v="5"/>
    <x v="5"/>
  </r>
  <r>
    <x v="55"/>
    <x v="0"/>
    <x v="0"/>
    <x v="4"/>
    <x v="55"/>
    <x v="55"/>
    <x v="21"/>
    <x v="21"/>
    <x v="21"/>
    <x v="21"/>
    <x v="14"/>
    <x v="397"/>
    <x v="471"/>
    <x v="56"/>
    <x v="318"/>
    <x v="275"/>
    <x v="249"/>
    <x v="5"/>
    <x v="5"/>
  </r>
  <r>
    <x v="55"/>
    <x v="0"/>
    <x v="0"/>
    <x v="4"/>
    <x v="55"/>
    <x v="55"/>
    <x v="7"/>
    <x v="7"/>
    <x v="7"/>
    <x v="7"/>
    <x v="14"/>
    <x v="397"/>
    <x v="471"/>
    <x v="71"/>
    <x v="391"/>
    <x v="230"/>
    <x v="328"/>
    <x v="5"/>
    <x v="5"/>
  </r>
  <r>
    <x v="55"/>
    <x v="0"/>
    <x v="0"/>
    <x v="4"/>
    <x v="55"/>
    <x v="55"/>
    <x v="42"/>
    <x v="42"/>
    <x v="42"/>
    <x v="42"/>
    <x v="19"/>
    <x v="398"/>
    <x v="155"/>
    <x v="84"/>
    <x v="89"/>
    <x v="275"/>
    <x v="249"/>
    <x v="5"/>
    <x v="5"/>
  </r>
  <r>
    <x v="55"/>
    <x v="0"/>
    <x v="0"/>
    <x v="4"/>
    <x v="55"/>
    <x v="55"/>
    <x v="43"/>
    <x v="43"/>
    <x v="43"/>
    <x v="43"/>
    <x v="19"/>
    <x v="398"/>
    <x v="155"/>
    <x v="79"/>
    <x v="513"/>
    <x v="230"/>
    <x v="328"/>
    <x v="5"/>
    <x v="5"/>
  </r>
  <r>
    <x v="55"/>
    <x v="0"/>
    <x v="0"/>
    <x v="4"/>
    <x v="55"/>
    <x v="55"/>
    <x v="37"/>
    <x v="37"/>
    <x v="37"/>
    <x v="37"/>
    <x v="19"/>
    <x v="398"/>
    <x v="155"/>
    <x v="125"/>
    <x v="183"/>
    <x v="171"/>
    <x v="223"/>
    <x v="5"/>
    <x v="5"/>
  </r>
  <r>
    <x v="55"/>
    <x v="0"/>
    <x v="0"/>
    <x v="4"/>
    <x v="55"/>
    <x v="55"/>
    <x v="14"/>
    <x v="14"/>
    <x v="14"/>
    <x v="14"/>
    <x v="19"/>
    <x v="398"/>
    <x v="155"/>
    <x v="84"/>
    <x v="89"/>
    <x v="275"/>
    <x v="249"/>
    <x v="5"/>
    <x v="5"/>
  </r>
  <r>
    <x v="55"/>
    <x v="0"/>
    <x v="0"/>
    <x v="4"/>
    <x v="55"/>
    <x v="55"/>
    <x v="13"/>
    <x v="13"/>
    <x v="13"/>
    <x v="13"/>
    <x v="19"/>
    <x v="398"/>
    <x v="155"/>
    <x v="125"/>
    <x v="183"/>
    <x v="171"/>
    <x v="223"/>
    <x v="5"/>
    <x v="5"/>
  </r>
  <r>
    <x v="56"/>
    <x v="0"/>
    <x v="0"/>
    <x v="4"/>
    <x v="56"/>
    <x v="56"/>
    <x v="0"/>
    <x v="0"/>
    <x v="0"/>
    <x v="0"/>
    <x v="0"/>
    <x v="116"/>
    <x v="599"/>
    <x v="139"/>
    <x v="604"/>
    <x v="180"/>
    <x v="569"/>
    <x v="5"/>
    <x v="23"/>
  </r>
  <r>
    <x v="56"/>
    <x v="0"/>
    <x v="0"/>
    <x v="4"/>
    <x v="56"/>
    <x v="56"/>
    <x v="2"/>
    <x v="2"/>
    <x v="2"/>
    <x v="2"/>
    <x v="1"/>
    <x v="157"/>
    <x v="146"/>
    <x v="132"/>
    <x v="605"/>
    <x v="272"/>
    <x v="386"/>
    <x v="5"/>
    <x v="23"/>
  </r>
  <r>
    <x v="56"/>
    <x v="0"/>
    <x v="0"/>
    <x v="4"/>
    <x v="56"/>
    <x v="56"/>
    <x v="1"/>
    <x v="1"/>
    <x v="1"/>
    <x v="1"/>
    <x v="2"/>
    <x v="345"/>
    <x v="600"/>
    <x v="143"/>
    <x v="606"/>
    <x v="281"/>
    <x v="109"/>
    <x v="5"/>
    <x v="23"/>
  </r>
  <r>
    <x v="56"/>
    <x v="0"/>
    <x v="0"/>
    <x v="4"/>
    <x v="56"/>
    <x v="56"/>
    <x v="4"/>
    <x v="4"/>
    <x v="4"/>
    <x v="4"/>
    <x v="3"/>
    <x v="222"/>
    <x v="520"/>
    <x v="93"/>
    <x v="607"/>
    <x v="189"/>
    <x v="570"/>
    <x v="5"/>
    <x v="23"/>
  </r>
  <r>
    <x v="56"/>
    <x v="0"/>
    <x v="0"/>
    <x v="4"/>
    <x v="56"/>
    <x v="56"/>
    <x v="6"/>
    <x v="6"/>
    <x v="6"/>
    <x v="6"/>
    <x v="4"/>
    <x v="217"/>
    <x v="229"/>
    <x v="49"/>
    <x v="608"/>
    <x v="281"/>
    <x v="109"/>
    <x v="5"/>
    <x v="23"/>
  </r>
  <r>
    <x v="56"/>
    <x v="0"/>
    <x v="0"/>
    <x v="4"/>
    <x v="56"/>
    <x v="56"/>
    <x v="3"/>
    <x v="3"/>
    <x v="3"/>
    <x v="3"/>
    <x v="5"/>
    <x v="367"/>
    <x v="601"/>
    <x v="83"/>
    <x v="520"/>
    <x v="273"/>
    <x v="571"/>
    <x v="5"/>
    <x v="23"/>
  </r>
  <r>
    <x v="56"/>
    <x v="0"/>
    <x v="0"/>
    <x v="4"/>
    <x v="56"/>
    <x v="56"/>
    <x v="9"/>
    <x v="9"/>
    <x v="9"/>
    <x v="9"/>
    <x v="5"/>
    <x v="367"/>
    <x v="601"/>
    <x v="94"/>
    <x v="609"/>
    <x v="231"/>
    <x v="185"/>
    <x v="5"/>
    <x v="23"/>
  </r>
  <r>
    <x v="56"/>
    <x v="0"/>
    <x v="0"/>
    <x v="4"/>
    <x v="56"/>
    <x v="56"/>
    <x v="12"/>
    <x v="12"/>
    <x v="12"/>
    <x v="12"/>
    <x v="7"/>
    <x v="224"/>
    <x v="587"/>
    <x v="116"/>
    <x v="610"/>
    <x v="272"/>
    <x v="386"/>
    <x v="5"/>
    <x v="23"/>
  </r>
  <r>
    <x v="56"/>
    <x v="0"/>
    <x v="0"/>
    <x v="4"/>
    <x v="56"/>
    <x v="56"/>
    <x v="7"/>
    <x v="7"/>
    <x v="7"/>
    <x v="7"/>
    <x v="8"/>
    <x v="365"/>
    <x v="566"/>
    <x v="94"/>
    <x v="609"/>
    <x v="275"/>
    <x v="318"/>
    <x v="5"/>
    <x v="23"/>
  </r>
  <r>
    <x v="56"/>
    <x v="0"/>
    <x v="0"/>
    <x v="4"/>
    <x v="56"/>
    <x v="56"/>
    <x v="8"/>
    <x v="8"/>
    <x v="8"/>
    <x v="8"/>
    <x v="9"/>
    <x v="395"/>
    <x v="602"/>
    <x v="79"/>
    <x v="205"/>
    <x v="272"/>
    <x v="386"/>
    <x v="5"/>
    <x v="23"/>
  </r>
  <r>
    <x v="56"/>
    <x v="0"/>
    <x v="0"/>
    <x v="4"/>
    <x v="56"/>
    <x v="56"/>
    <x v="5"/>
    <x v="5"/>
    <x v="5"/>
    <x v="5"/>
    <x v="10"/>
    <x v="392"/>
    <x v="603"/>
    <x v="71"/>
    <x v="611"/>
    <x v="231"/>
    <x v="185"/>
    <x v="5"/>
    <x v="23"/>
  </r>
  <r>
    <x v="56"/>
    <x v="0"/>
    <x v="0"/>
    <x v="4"/>
    <x v="56"/>
    <x v="56"/>
    <x v="14"/>
    <x v="14"/>
    <x v="14"/>
    <x v="14"/>
    <x v="11"/>
    <x v="388"/>
    <x v="324"/>
    <x v="79"/>
    <x v="205"/>
    <x v="281"/>
    <x v="109"/>
    <x v="5"/>
    <x v="23"/>
  </r>
  <r>
    <x v="56"/>
    <x v="0"/>
    <x v="0"/>
    <x v="4"/>
    <x v="56"/>
    <x v="56"/>
    <x v="10"/>
    <x v="10"/>
    <x v="10"/>
    <x v="10"/>
    <x v="12"/>
    <x v="389"/>
    <x v="415"/>
    <x v="54"/>
    <x v="612"/>
    <x v="230"/>
    <x v="328"/>
    <x v="5"/>
    <x v="23"/>
  </r>
  <r>
    <x v="56"/>
    <x v="0"/>
    <x v="0"/>
    <x v="4"/>
    <x v="56"/>
    <x v="56"/>
    <x v="18"/>
    <x v="18"/>
    <x v="18"/>
    <x v="18"/>
    <x v="12"/>
    <x v="389"/>
    <x v="415"/>
    <x v="56"/>
    <x v="14"/>
    <x v="184"/>
    <x v="90"/>
    <x v="5"/>
    <x v="23"/>
  </r>
  <r>
    <x v="56"/>
    <x v="0"/>
    <x v="0"/>
    <x v="4"/>
    <x v="56"/>
    <x v="56"/>
    <x v="11"/>
    <x v="11"/>
    <x v="11"/>
    <x v="11"/>
    <x v="14"/>
    <x v="396"/>
    <x v="154"/>
    <x v="71"/>
    <x v="611"/>
    <x v="171"/>
    <x v="572"/>
    <x v="5"/>
    <x v="23"/>
  </r>
  <r>
    <x v="56"/>
    <x v="0"/>
    <x v="0"/>
    <x v="4"/>
    <x v="56"/>
    <x v="56"/>
    <x v="41"/>
    <x v="41"/>
    <x v="41"/>
    <x v="41"/>
    <x v="14"/>
    <x v="396"/>
    <x v="154"/>
    <x v="125"/>
    <x v="62"/>
    <x v="275"/>
    <x v="318"/>
    <x v="5"/>
    <x v="23"/>
  </r>
  <r>
    <x v="56"/>
    <x v="0"/>
    <x v="0"/>
    <x v="4"/>
    <x v="56"/>
    <x v="56"/>
    <x v="15"/>
    <x v="15"/>
    <x v="15"/>
    <x v="15"/>
    <x v="16"/>
    <x v="397"/>
    <x v="491"/>
    <x v="56"/>
    <x v="14"/>
    <x v="275"/>
    <x v="318"/>
    <x v="5"/>
    <x v="23"/>
  </r>
  <r>
    <x v="56"/>
    <x v="0"/>
    <x v="0"/>
    <x v="4"/>
    <x v="56"/>
    <x v="56"/>
    <x v="13"/>
    <x v="13"/>
    <x v="13"/>
    <x v="13"/>
    <x v="16"/>
    <x v="397"/>
    <x v="491"/>
    <x v="125"/>
    <x v="62"/>
    <x v="282"/>
    <x v="369"/>
    <x v="5"/>
    <x v="23"/>
  </r>
  <r>
    <x v="56"/>
    <x v="0"/>
    <x v="0"/>
    <x v="4"/>
    <x v="56"/>
    <x v="56"/>
    <x v="21"/>
    <x v="21"/>
    <x v="21"/>
    <x v="21"/>
    <x v="18"/>
    <x v="398"/>
    <x v="604"/>
    <x v="84"/>
    <x v="89"/>
    <x v="275"/>
    <x v="318"/>
    <x v="5"/>
    <x v="23"/>
  </r>
  <r>
    <x v="56"/>
    <x v="0"/>
    <x v="0"/>
    <x v="4"/>
    <x v="56"/>
    <x v="56"/>
    <x v="16"/>
    <x v="16"/>
    <x v="16"/>
    <x v="16"/>
    <x v="18"/>
    <x v="398"/>
    <x v="604"/>
    <x v="125"/>
    <x v="62"/>
    <x v="171"/>
    <x v="572"/>
    <x v="5"/>
    <x v="23"/>
  </r>
  <r>
    <x v="57"/>
    <x v="0"/>
    <x v="0"/>
    <x v="4"/>
    <x v="57"/>
    <x v="57"/>
    <x v="26"/>
    <x v="26"/>
    <x v="26"/>
    <x v="26"/>
    <x v="0"/>
    <x v="211"/>
    <x v="605"/>
    <x v="35"/>
    <x v="613"/>
    <x v="200"/>
    <x v="573"/>
    <x v="8"/>
    <x v="18"/>
  </r>
  <r>
    <x v="57"/>
    <x v="0"/>
    <x v="0"/>
    <x v="4"/>
    <x v="57"/>
    <x v="57"/>
    <x v="1"/>
    <x v="1"/>
    <x v="1"/>
    <x v="1"/>
    <x v="1"/>
    <x v="141"/>
    <x v="606"/>
    <x v="89"/>
    <x v="614"/>
    <x v="75"/>
    <x v="226"/>
    <x v="5"/>
    <x v="5"/>
  </r>
  <r>
    <x v="57"/>
    <x v="0"/>
    <x v="0"/>
    <x v="4"/>
    <x v="57"/>
    <x v="57"/>
    <x v="0"/>
    <x v="0"/>
    <x v="0"/>
    <x v="0"/>
    <x v="2"/>
    <x v="107"/>
    <x v="318"/>
    <x v="106"/>
    <x v="516"/>
    <x v="49"/>
    <x v="574"/>
    <x v="8"/>
    <x v="18"/>
  </r>
  <r>
    <x v="57"/>
    <x v="0"/>
    <x v="0"/>
    <x v="4"/>
    <x v="57"/>
    <x v="57"/>
    <x v="3"/>
    <x v="3"/>
    <x v="3"/>
    <x v="3"/>
    <x v="3"/>
    <x v="76"/>
    <x v="607"/>
    <x v="159"/>
    <x v="615"/>
    <x v="132"/>
    <x v="78"/>
    <x v="5"/>
    <x v="5"/>
  </r>
  <r>
    <x v="57"/>
    <x v="0"/>
    <x v="0"/>
    <x v="4"/>
    <x v="57"/>
    <x v="57"/>
    <x v="6"/>
    <x v="6"/>
    <x v="6"/>
    <x v="6"/>
    <x v="4"/>
    <x v="90"/>
    <x v="608"/>
    <x v="75"/>
    <x v="616"/>
    <x v="146"/>
    <x v="575"/>
    <x v="5"/>
    <x v="5"/>
  </r>
  <r>
    <x v="57"/>
    <x v="0"/>
    <x v="0"/>
    <x v="4"/>
    <x v="57"/>
    <x v="57"/>
    <x v="4"/>
    <x v="4"/>
    <x v="4"/>
    <x v="4"/>
    <x v="5"/>
    <x v="92"/>
    <x v="476"/>
    <x v="54"/>
    <x v="172"/>
    <x v="138"/>
    <x v="576"/>
    <x v="5"/>
    <x v="5"/>
  </r>
  <r>
    <x v="57"/>
    <x v="0"/>
    <x v="0"/>
    <x v="4"/>
    <x v="57"/>
    <x v="57"/>
    <x v="2"/>
    <x v="2"/>
    <x v="2"/>
    <x v="2"/>
    <x v="6"/>
    <x v="292"/>
    <x v="609"/>
    <x v="115"/>
    <x v="617"/>
    <x v="274"/>
    <x v="129"/>
    <x v="8"/>
    <x v="18"/>
  </r>
  <r>
    <x v="57"/>
    <x v="0"/>
    <x v="0"/>
    <x v="4"/>
    <x v="57"/>
    <x v="57"/>
    <x v="8"/>
    <x v="8"/>
    <x v="8"/>
    <x v="8"/>
    <x v="7"/>
    <x v="222"/>
    <x v="185"/>
    <x v="57"/>
    <x v="31"/>
    <x v="139"/>
    <x v="82"/>
    <x v="5"/>
    <x v="5"/>
  </r>
  <r>
    <x v="57"/>
    <x v="0"/>
    <x v="0"/>
    <x v="4"/>
    <x v="57"/>
    <x v="57"/>
    <x v="5"/>
    <x v="5"/>
    <x v="5"/>
    <x v="5"/>
    <x v="8"/>
    <x v="217"/>
    <x v="120"/>
    <x v="116"/>
    <x v="287"/>
    <x v="185"/>
    <x v="52"/>
    <x v="5"/>
    <x v="5"/>
  </r>
  <r>
    <x v="57"/>
    <x v="0"/>
    <x v="0"/>
    <x v="4"/>
    <x v="57"/>
    <x v="57"/>
    <x v="11"/>
    <x v="11"/>
    <x v="11"/>
    <x v="11"/>
    <x v="9"/>
    <x v="365"/>
    <x v="338"/>
    <x v="116"/>
    <x v="287"/>
    <x v="273"/>
    <x v="236"/>
    <x v="5"/>
    <x v="5"/>
  </r>
  <r>
    <x v="57"/>
    <x v="0"/>
    <x v="0"/>
    <x v="4"/>
    <x v="57"/>
    <x v="57"/>
    <x v="41"/>
    <x v="41"/>
    <x v="41"/>
    <x v="41"/>
    <x v="10"/>
    <x v="395"/>
    <x v="523"/>
    <x v="84"/>
    <x v="89"/>
    <x v="185"/>
    <x v="52"/>
    <x v="5"/>
    <x v="5"/>
  </r>
  <r>
    <x v="57"/>
    <x v="0"/>
    <x v="0"/>
    <x v="4"/>
    <x v="57"/>
    <x v="57"/>
    <x v="9"/>
    <x v="9"/>
    <x v="9"/>
    <x v="9"/>
    <x v="10"/>
    <x v="395"/>
    <x v="523"/>
    <x v="54"/>
    <x v="172"/>
    <x v="231"/>
    <x v="95"/>
    <x v="5"/>
    <x v="5"/>
  </r>
  <r>
    <x v="57"/>
    <x v="0"/>
    <x v="0"/>
    <x v="4"/>
    <x v="57"/>
    <x v="57"/>
    <x v="31"/>
    <x v="31"/>
    <x v="31"/>
    <x v="31"/>
    <x v="12"/>
    <x v="369"/>
    <x v="511"/>
    <x v="116"/>
    <x v="287"/>
    <x v="275"/>
    <x v="577"/>
    <x v="5"/>
    <x v="5"/>
  </r>
  <r>
    <x v="57"/>
    <x v="0"/>
    <x v="0"/>
    <x v="4"/>
    <x v="57"/>
    <x v="57"/>
    <x v="7"/>
    <x v="7"/>
    <x v="7"/>
    <x v="7"/>
    <x v="12"/>
    <x v="369"/>
    <x v="511"/>
    <x v="83"/>
    <x v="618"/>
    <x v="230"/>
    <x v="328"/>
    <x v="5"/>
    <x v="5"/>
  </r>
  <r>
    <x v="57"/>
    <x v="0"/>
    <x v="0"/>
    <x v="4"/>
    <x v="57"/>
    <x v="57"/>
    <x v="18"/>
    <x v="18"/>
    <x v="18"/>
    <x v="18"/>
    <x v="12"/>
    <x v="369"/>
    <x v="511"/>
    <x v="84"/>
    <x v="89"/>
    <x v="187"/>
    <x v="88"/>
    <x v="8"/>
    <x v="18"/>
  </r>
  <r>
    <x v="57"/>
    <x v="0"/>
    <x v="0"/>
    <x v="4"/>
    <x v="57"/>
    <x v="57"/>
    <x v="13"/>
    <x v="13"/>
    <x v="13"/>
    <x v="13"/>
    <x v="15"/>
    <x v="392"/>
    <x v="16"/>
    <x v="56"/>
    <x v="57"/>
    <x v="272"/>
    <x v="356"/>
    <x v="5"/>
    <x v="5"/>
  </r>
  <r>
    <x v="57"/>
    <x v="0"/>
    <x v="0"/>
    <x v="4"/>
    <x v="57"/>
    <x v="57"/>
    <x v="42"/>
    <x v="42"/>
    <x v="42"/>
    <x v="42"/>
    <x v="16"/>
    <x v="388"/>
    <x v="416"/>
    <x v="57"/>
    <x v="31"/>
    <x v="230"/>
    <x v="328"/>
    <x v="5"/>
    <x v="5"/>
  </r>
  <r>
    <x v="57"/>
    <x v="0"/>
    <x v="0"/>
    <x v="4"/>
    <x v="57"/>
    <x v="57"/>
    <x v="22"/>
    <x v="22"/>
    <x v="22"/>
    <x v="22"/>
    <x v="16"/>
    <x v="388"/>
    <x v="416"/>
    <x v="125"/>
    <x v="619"/>
    <x v="184"/>
    <x v="453"/>
    <x v="5"/>
    <x v="5"/>
  </r>
  <r>
    <x v="57"/>
    <x v="0"/>
    <x v="0"/>
    <x v="4"/>
    <x v="57"/>
    <x v="57"/>
    <x v="44"/>
    <x v="44"/>
    <x v="44"/>
    <x v="44"/>
    <x v="18"/>
    <x v="389"/>
    <x v="610"/>
    <x v="79"/>
    <x v="101"/>
    <x v="275"/>
    <x v="577"/>
    <x v="5"/>
    <x v="5"/>
  </r>
  <r>
    <x v="57"/>
    <x v="0"/>
    <x v="0"/>
    <x v="4"/>
    <x v="57"/>
    <x v="57"/>
    <x v="17"/>
    <x v="17"/>
    <x v="17"/>
    <x v="17"/>
    <x v="18"/>
    <x v="389"/>
    <x v="610"/>
    <x v="125"/>
    <x v="619"/>
    <x v="281"/>
    <x v="578"/>
    <x v="5"/>
    <x v="5"/>
  </r>
  <r>
    <x v="58"/>
    <x v="0"/>
    <x v="0"/>
    <x v="4"/>
    <x v="58"/>
    <x v="58"/>
    <x v="1"/>
    <x v="1"/>
    <x v="1"/>
    <x v="1"/>
    <x v="0"/>
    <x v="289"/>
    <x v="611"/>
    <x v="137"/>
    <x v="620"/>
    <x v="282"/>
    <x v="218"/>
    <x v="5"/>
    <x v="23"/>
  </r>
  <r>
    <x v="58"/>
    <x v="0"/>
    <x v="0"/>
    <x v="4"/>
    <x v="58"/>
    <x v="58"/>
    <x v="3"/>
    <x v="3"/>
    <x v="3"/>
    <x v="3"/>
    <x v="1"/>
    <x v="217"/>
    <x v="612"/>
    <x v="49"/>
    <x v="621"/>
    <x v="281"/>
    <x v="188"/>
    <x v="5"/>
    <x v="23"/>
  </r>
  <r>
    <x v="58"/>
    <x v="0"/>
    <x v="0"/>
    <x v="4"/>
    <x v="58"/>
    <x v="58"/>
    <x v="2"/>
    <x v="2"/>
    <x v="2"/>
    <x v="2"/>
    <x v="1"/>
    <x v="217"/>
    <x v="612"/>
    <x v="124"/>
    <x v="622"/>
    <x v="230"/>
    <x v="328"/>
    <x v="5"/>
    <x v="23"/>
  </r>
  <r>
    <x v="58"/>
    <x v="0"/>
    <x v="0"/>
    <x v="4"/>
    <x v="58"/>
    <x v="58"/>
    <x v="6"/>
    <x v="6"/>
    <x v="6"/>
    <x v="6"/>
    <x v="3"/>
    <x v="223"/>
    <x v="613"/>
    <x v="97"/>
    <x v="623"/>
    <x v="272"/>
    <x v="579"/>
    <x v="5"/>
    <x v="23"/>
  </r>
  <r>
    <x v="58"/>
    <x v="0"/>
    <x v="0"/>
    <x v="4"/>
    <x v="58"/>
    <x v="58"/>
    <x v="0"/>
    <x v="0"/>
    <x v="0"/>
    <x v="0"/>
    <x v="3"/>
    <x v="223"/>
    <x v="613"/>
    <x v="49"/>
    <x v="621"/>
    <x v="282"/>
    <x v="218"/>
    <x v="5"/>
    <x v="23"/>
  </r>
  <r>
    <x v="58"/>
    <x v="0"/>
    <x v="0"/>
    <x v="4"/>
    <x v="58"/>
    <x v="58"/>
    <x v="26"/>
    <x v="26"/>
    <x v="26"/>
    <x v="26"/>
    <x v="5"/>
    <x v="368"/>
    <x v="614"/>
    <x v="93"/>
    <x v="624"/>
    <x v="275"/>
    <x v="40"/>
    <x v="5"/>
    <x v="23"/>
  </r>
  <r>
    <x v="58"/>
    <x v="0"/>
    <x v="0"/>
    <x v="4"/>
    <x v="58"/>
    <x v="58"/>
    <x v="4"/>
    <x v="4"/>
    <x v="4"/>
    <x v="4"/>
    <x v="6"/>
    <x v="369"/>
    <x v="385"/>
    <x v="125"/>
    <x v="625"/>
    <x v="272"/>
    <x v="579"/>
    <x v="5"/>
    <x v="23"/>
  </r>
  <r>
    <x v="58"/>
    <x v="0"/>
    <x v="0"/>
    <x v="4"/>
    <x v="58"/>
    <x v="58"/>
    <x v="5"/>
    <x v="5"/>
    <x v="5"/>
    <x v="5"/>
    <x v="6"/>
    <x v="369"/>
    <x v="385"/>
    <x v="54"/>
    <x v="626"/>
    <x v="184"/>
    <x v="580"/>
    <x v="5"/>
    <x v="23"/>
  </r>
  <r>
    <x v="58"/>
    <x v="0"/>
    <x v="0"/>
    <x v="4"/>
    <x v="58"/>
    <x v="58"/>
    <x v="45"/>
    <x v="45"/>
    <x v="45"/>
    <x v="45"/>
    <x v="6"/>
    <x v="369"/>
    <x v="385"/>
    <x v="84"/>
    <x v="89"/>
    <x v="186"/>
    <x v="581"/>
    <x v="5"/>
    <x v="23"/>
  </r>
  <r>
    <x v="58"/>
    <x v="0"/>
    <x v="0"/>
    <x v="4"/>
    <x v="58"/>
    <x v="58"/>
    <x v="46"/>
    <x v="46"/>
    <x v="46"/>
    <x v="46"/>
    <x v="9"/>
    <x v="396"/>
    <x v="369"/>
    <x v="84"/>
    <x v="89"/>
    <x v="184"/>
    <x v="580"/>
    <x v="5"/>
    <x v="23"/>
  </r>
  <r>
    <x v="58"/>
    <x v="0"/>
    <x v="0"/>
    <x v="4"/>
    <x v="58"/>
    <x v="58"/>
    <x v="8"/>
    <x v="8"/>
    <x v="8"/>
    <x v="8"/>
    <x v="9"/>
    <x v="396"/>
    <x v="369"/>
    <x v="56"/>
    <x v="598"/>
    <x v="281"/>
    <x v="188"/>
    <x v="5"/>
    <x v="23"/>
  </r>
  <r>
    <x v="58"/>
    <x v="0"/>
    <x v="0"/>
    <x v="4"/>
    <x v="58"/>
    <x v="58"/>
    <x v="36"/>
    <x v="36"/>
    <x v="36"/>
    <x v="36"/>
    <x v="11"/>
    <x v="397"/>
    <x v="615"/>
    <x v="56"/>
    <x v="598"/>
    <x v="275"/>
    <x v="40"/>
    <x v="5"/>
    <x v="23"/>
  </r>
  <r>
    <x v="58"/>
    <x v="0"/>
    <x v="0"/>
    <x v="4"/>
    <x v="58"/>
    <x v="58"/>
    <x v="12"/>
    <x v="12"/>
    <x v="12"/>
    <x v="12"/>
    <x v="11"/>
    <x v="397"/>
    <x v="615"/>
    <x v="56"/>
    <x v="598"/>
    <x v="275"/>
    <x v="40"/>
    <x v="5"/>
    <x v="23"/>
  </r>
  <r>
    <x v="58"/>
    <x v="0"/>
    <x v="0"/>
    <x v="4"/>
    <x v="58"/>
    <x v="58"/>
    <x v="14"/>
    <x v="14"/>
    <x v="14"/>
    <x v="14"/>
    <x v="11"/>
    <x v="397"/>
    <x v="615"/>
    <x v="56"/>
    <x v="598"/>
    <x v="275"/>
    <x v="40"/>
    <x v="5"/>
    <x v="23"/>
  </r>
  <r>
    <x v="58"/>
    <x v="0"/>
    <x v="0"/>
    <x v="4"/>
    <x v="58"/>
    <x v="58"/>
    <x v="31"/>
    <x v="31"/>
    <x v="31"/>
    <x v="31"/>
    <x v="11"/>
    <x v="397"/>
    <x v="615"/>
    <x v="84"/>
    <x v="89"/>
    <x v="281"/>
    <x v="188"/>
    <x v="5"/>
    <x v="23"/>
  </r>
  <r>
    <x v="58"/>
    <x v="0"/>
    <x v="0"/>
    <x v="4"/>
    <x v="58"/>
    <x v="58"/>
    <x v="7"/>
    <x v="7"/>
    <x v="7"/>
    <x v="7"/>
    <x v="11"/>
    <x v="397"/>
    <x v="615"/>
    <x v="71"/>
    <x v="627"/>
    <x v="230"/>
    <x v="328"/>
    <x v="5"/>
    <x v="23"/>
  </r>
  <r>
    <x v="58"/>
    <x v="0"/>
    <x v="0"/>
    <x v="4"/>
    <x v="58"/>
    <x v="58"/>
    <x v="20"/>
    <x v="20"/>
    <x v="20"/>
    <x v="20"/>
    <x v="16"/>
    <x v="398"/>
    <x v="93"/>
    <x v="125"/>
    <x v="625"/>
    <x v="171"/>
    <x v="27"/>
    <x v="5"/>
    <x v="23"/>
  </r>
  <r>
    <x v="58"/>
    <x v="0"/>
    <x v="0"/>
    <x v="4"/>
    <x v="58"/>
    <x v="58"/>
    <x v="23"/>
    <x v="23"/>
    <x v="23"/>
    <x v="23"/>
    <x v="16"/>
    <x v="398"/>
    <x v="93"/>
    <x v="84"/>
    <x v="89"/>
    <x v="275"/>
    <x v="40"/>
    <x v="5"/>
    <x v="23"/>
  </r>
  <r>
    <x v="58"/>
    <x v="0"/>
    <x v="0"/>
    <x v="4"/>
    <x v="58"/>
    <x v="58"/>
    <x v="47"/>
    <x v="47"/>
    <x v="47"/>
    <x v="47"/>
    <x v="18"/>
    <x v="399"/>
    <x v="143"/>
    <x v="56"/>
    <x v="598"/>
    <x v="171"/>
    <x v="27"/>
    <x v="5"/>
    <x v="23"/>
  </r>
  <r>
    <x v="58"/>
    <x v="0"/>
    <x v="0"/>
    <x v="4"/>
    <x v="58"/>
    <x v="58"/>
    <x v="24"/>
    <x v="24"/>
    <x v="24"/>
    <x v="24"/>
    <x v="18"/>
    <x v="399"/>
    <x v="143"/>
    <x v="56"/>
    <x v="598"/>
    <x v="171"/>
    <x v="27"/>
    <x v="5"/>
    <x v="23"/>
  </r>
  <r>
    <x v="58"/>
    <x v="0"/>
    <x v="0"/>
    <x v="4"/>
    <x v="58"/>
    <x v="58"/>
    <x v="21"/>
    <x v="21"/>
    <x v="21"/>
    <x v="21"/>
    <x v="18"/>
    <x v="399"/>
    <x v="143"/>
    <x v="56"/>
    <x v="598"/>
    <x v="171"/>
    <x v="27"/>
    <x v="5"/>
    <x v="23"/>
  </r>
  <r>
    <x v="58"/>
    <x v="0"/>
    <x v="0"/>
    <x v="4"/>
    <x v="58"/>
    <x v="58"/>
    <x v="11"/>
    <x v="11"/>
    <x v="11"/>
    <x v="11"/>
    <x v="18"/>
    <x v="399"/>
    <x v="143"/>
    <x v="125"/>
    <x v="625"/>
    <x v="230"/>
    <x v="328"/>
    <x v="5"/>
    <x v="23"/>
  </r>
  <r>
    <x v="58"/>
    <x v="0"/>
    <x v="0"/>
    <x v="4"/>
    <x v="58"/>
    <x v="58"/>
    <x v="33"/>
    <x v="33"/>
    <x v="33"/>
    <x v="33"/>
    <x v="18"/>
    <x v="399"/>
    <x v="143"/>
    <x v="84"/>
    <x v="89"/>
    <x v="282"/>
    <x v="218"/>
    <x v="5"/>
    <x v="23"/>
  </r>
  <r>
    <x v="58"/>
    <x v="0"/>
    <x v="0"/>
    <x v="4"/>
    <x v="58"/>
    <x v="58"/>
    <x v="44"/>
    <x v="44"/>
    <x v="44"/>
    <x v="44"/>
    <x v="18"/>
    <x v="399"/>
    <x v="143"/>
    <x v="56"/>
    <x v="598"/>
    <x v="171"/>
    <x v="27"/>
    <x v="5"/>
    <x v="23"/>
  </r>
  <r>
    <x v="58"/>
    <x v="0"/>
    <x v="0"/>
    <x v="4"/>
    <x v="58"/>
    <x v="58"/>
    <x v="17"/>
    <x v="17"/>
    <x v="17"/>
    <x v="17"/>
    <x v="18"/>
    <x v="399"/>
    <x v="143"/>
    <x v="84"/>
    <x v="89"/>
    <x v="282"/>
    <x v="218"/>
    <x v="5"/>
    <x v="23"/>
  </r>
  <r>
    <x v="59"/>
    <x v="0"/>
    <x v="0"/>
    <x v="4"/>
    <x v="59"/>
    <x v="59"/>
    <x v="1"/>
    <x v="1"/>
    <x v="1"/>
    <x v="1"/>
    <x v="0"/>
    <x v="152"/>
    <x v="616"/>
    <x v="175"/>
    <x v="628"/>
    <x v="136"/>
    <x v="228"/>
    <x v="5"/>
    <x v="23"/>
  </r>
  <r>
    <x v="59"/>
    <x v="0"/>
    <x v="0"/>
    <x v="4"/>
    <x v="59"/>
    <x v="59"/>
    <x v="2"/>
    <x v="2"/>
    <x v="2"/>
    <x v="2"/>
    <x v="1"/>
    <x v="72"/>
    <x v="518"/>
    <x v="274"/>
    <x v="629"/>
    <x v="273"/>
    <x v="110"/>
    <x v="5"/>
    <x v="23"/>
  </r>
  <r>
    <x v="59"/>
    <x v="0"/>
    <x v="0"/>
    <x v="4"/>
    <x v="59"/>
    <x v="59"/>
    <x v="0"/>
    <x v="0"/>
    <x v="0"/>
    <x v="0"/>
    <x v="2"/>
    <x v="73"/>
    <x v="617"/>
    <x v="195"/>
    <x v="630"/>
    <x v="139"/>
    <x v="582"/>
    <x v="5"/>
    <x v="23"/>
  </r>
  <r>
    <x v="59"/>
    <x v="0"/>
    <x v="0"/>
    <x v="4"/>
    <x v="59"/>
    <x v="59"/>
    <x v="6"/>
    <x v="6"/>
    <x v="6"/>
    <x v="6"/>
    <x v="3"/>
    <x v="74"/>
    <x v="618"/>
    <x v="200"/>
    <x v="631"/>
    <x v="140"/>
    <x v="583"/>
    <x v="5"/>
    <x v="23"/>
  </r>
  <r>
    <x v="59"/>
    <x v="0"/>
    <x v="0"/>
    <x v="4"/>
    <x v="59"/>
    <x v="59"/>
    <x v="3"/>
    <x v="3"/>
    <x v="3"/>
    <x v="3"/>
    <x v="4"/>
    <x v="236"/>
    <x v="278"/>
    <x v="137"/>
    <x v="389"/>
    <x v="131"/>
    <x v="313"/>
    <x v="5"/>
    <x v="23"/>
  </r>
  <r>
    <x v="59"/>
    <x v="0"/>
    <x v="0"/>
    <x v="4"/>
    <x v="59"/>
    <x v="59"/>
    <x v="4"/>
    <x v="4"/>
    <x v="4"/>
    <x v="4"/>
    <x v="5"/>
    <x v="192"/>
    <x v="619"/>
    <x v="82"/>
    <x v="632"/>
    <x v="145"/>
    <x v="584"/>
    <x v="5"/>
    <x v="23"/>
  </r>
  <r>
    <x v="59"/>
    <x v="0"/>
    <x v="0"/>
    <x v="4"/>
    <x v="59"/>
    <x v="59"/>
    <x v="5"/>
    <x v="5"/>
    <x v="5"/>
    <x v="5"/>
    <x v="6"/>
    <x v="182"/>
    <x v="620"/>
    <x v="44"/>
    <x v="350"/>
    <x v="180"/>
    <x v="585"/>
    <x v="5"/>
    <x v="23"/>
  </r>
  <r>
    <x v="59"/>
    <x v="0"/>
    <x v="0"/>
    <x v="4"/>
    <x v="59"/>
    <x v="59"/>
    <x v="8"/>
    <x v="8"/>
    <x v="8"/>
    <x v="8"/>
    <x v="7"/>
    <x v="136"/>
    <x v="314"/>
    <x v="82"/>
    <x v="632"/>
    <x v="140"/>
    <x v="583"/>
    <x v="5"/>
    <x v="23"/>
  </r>
  <r>
    <x v="59"/>
    <x v="0"/>
    <x v="0"/>
    <x v="4"/>
    <x v="59"/>
    <x v="59"/>
    <x v="11"/>
    <x v="11"/>
    <x v="11"/>
    <x v="11"/>
    <x v="8"/>
    <x v="193"/>
    <x v="149"/>
    <x v="81"/>
    <x v="633"/>
    <x v="273"/>
    <x v="110"/>
    <x v="5"/>
    <x v="23"/>
  </r>
  <r>
    <x v="59"/>
    <x v="0"/>
    <x v="0"/>
    <x v="4"/>
    <x v="59"/>
    <x v="59"/>
    <x v="26"/>
    <x v="26"/>
    <x v="26"/>
    <x v="26"/>
    <x v="9"/>
    <x v="215"/>
    <x v="9"/>
    <x v="44"/>
    <x v="350"/>
    <x v="135"/>
    <x v="586"/>
    <x v="5"/>
    <x v="23"/>
  </r>
  <r>
    <x v="59"/>
    <x v="0"/>
    <x v="0"/>
    <x v="4"/>
    <x v="59"/>
    <x v="59"/>
    <x v="7"/>
    <x v="7"/>
    <x v="7"/>
    <x v="7"/>
    <x v="10"/>
    <x v="289"/>
    <x v="99"/>
    <x v="66"/>
    <x v="634"/>
    <x v="171"/>
    <x v="587"/>
    <x v="5"/>
    <x v="23"/>
  </r>
  <r>
    <x v="59"/>
    <x v="0"/>
    <x v="0"/>
    <x v="4"/>
    <x v="59"/>
    <x v="59"/>
    <x v="9"/>
    <x v="9"/>
    <x v="9"/>
    <x v="9"/>
    <x v="11"/>
    <x v="382"/>
    <x v="32"/>
    <x v="94"/>
    <x v="217"/>
    <x v="273"/>
    <x v="110"/>
    <x v="5"/>
    <x v="23"/>
  </r>
  <r>
    <x v="59"/>
    <x v="0"/>
    <x v="0"/>
    <x v="4"/>
    <x v="59"/>
    <x v="59"/>
    <x v="14"/>
    <x v="14"/>
    <x v="14"/>
    <x v="14"/>
    <x v="12"/>
    <x v="224"/>
    <x v="14"/>
    <x v="56"/>
    <x v="18"/>
    <x v="179"/>
    <x v="497"/>
    <x v="5"/>
    <x v="23"/>
  </r>
  <r>
    <x v="59"/>
    <x v="0"/>
    <x v="0"/>
    <x v="4"/>
    <x v="59"/>
    <x v="59"/>
    <x v="13"/>
    <x v="13"/>
    <x v="13"/>
    <x v="13"/>
    <x v="13"/>
    <x v="368"/>
    <x v="91"/>
    <x v="57"/>
    <x v="128"/>
    <x v="273"/>
    <x v="110"/>
    <x v="5"/>
    <x v="23"/>
  </r>
  <r>
    <x v="59"/>
    <x v="0"/>
    <x v="0"/>
    <x v="4"/>
    <x v="59"/>
    <x v="59"/>
    <x v="12"/>
    <x v="12"/>
    <x v="12"/>
    <x v="12"/>
    <x v="14"/>
    <x v="366"/>
    <x v="582"/>
    <x v="54"/>
    <x v="375"/>
    <x v="274"/>
    <x v="318"/>
    <x v="5"/>
    <x v="23"/>
  </r>
  <r>
    <x v="59"/>
    <x v="0"/>
    <x v="0"/>
    <x v="4"/>
    <x v="59"/>
    <x v="59"/>
    <x v="22"/>
    <x v="22"/>
    <x v="22"/>
    <x v="22"/>
    <x v="15"/>
    <x v="395"/>
    <x v="262"/>
    <x v="56"/>
    <x v="18"/>
    <x v="186"/>
    <x v="102"/>
    <x v="5"/>
    <x v="23"/>
  </r>
  <r>
    <x v="59"/>
    <x v="0"/>
    <x v="0"/>
    <x v="4"/>
    <x v="59"/>
    <x v="59"/>
    <x v="36"/>
    <x v="36"/>
    <x v="36"/>
    <x v="36"/>
    <x v="16"/>
    <x v="369"/>
    <x v="75"/>
    <x v="126"/>
    <x v="39"/>
    <x v="231"/>
    <x v="192"/>
    <x v="5"/>
    <x v="23"/>
  </r>
  <r>
    <x v="59"/>
    <x v="0"/>
    <x v="0"/>
    <x v="4"/>
    <x v="59"/>
    <x v="59"/>
    <x v="31"/>
    <x v="31"/>
    <x v="31"/>
    <x v="31"/>
    <x v="16"/>
    <x v="369"/>
    <x v="75"/>
    <x v="116"/>
    <x v="635"/>
    <x v="275"/>
    <x v="588"/>
    <x v="5"/>
    <x v="23"/>
  </r>
  <r>
    <x v="59"/>
    <x v="0"/>
    <x v="0"/>
    <x v="4"/>
    <x v="59"/>
    <x v="59"/>
    <x v="10"/>
    <x v="10"/>
    <x v="10"/>
    <x v="10"/>
    <x v="18"/>
    <x v="392"/>
    <x v="222"/>
    <x v="126"/>
    <x v="39"/>
    <x v="184"/>
    <x v="589"/>
    <x v="5"/>
    <x v="23"/>
  </r>
  <r>
    <x v="59"/>
    <x v="0"/>
    <x v="0"/>
    <x v="4"/>
    <x v="59"/>
    <x v="59"/>
    <x v="41"/>
    <x v="41"/>
    <x v="41"/>
    <x v="41"/>
    <x v="19"/>
    <x v="393"/>
    <x v="325"/>
    <x v="79"/>
    <x v="489"/>
    <x v="231"/>
    <x v="192"/>
    <x v="5"/>
    <x v="23"/>
  </r>
  <r>
    <x v="59"/>
    <x v="0"/>
    <x v="0"/>
    <x v="4"/>
    <x v="59"/>
    <x v="59"/>
    <x v="17"/>
    <x v="17"/>
    <x v="17"/>
    <x v="17"/>
    <x v="19"/>
    <x v="393"/>
    <x v="325"/>
    <x v="71"/>
    <x v="342"/>
    <x v="184"/>
    <x v="589"/>
    <x v="5"/>
    <x v="23"/>
  </r>
  <r>
    <x v="60"/>
    <x v="0"/>
    <x v="0"/>
    <x v="4"/>
    <x v="60"/>
    <x v="60"/>
    <x v="1"/>
    <x v="1"/>
    <x v="1"/>
    <x v="1"/>
    <x v="0"/>
    <x v="205"/>
    <x v="374"/>
    <x v="266"/>
    <x v="636"/>
    <x v="136"/>
    <x v="238"/>
    <x v="5"/>
    <x v="23"/>
  </r>
  <r>
    <x v="60"/>
    <x v="0"/>
    <x v="0"/>
    <x v="4"/>
    <x v="60"/>
    <x v="60"/>
    <x v="4"/>
    <x v="4"/>
    <x v="4"/>
    <x v="4"/>
    <x v="1"/>
    <x v="54"/>
    <x v="621"/>
    <x v="72"/>
    <x v="637"/>
    <x v="51"/>
    <x v="590"/>
    <x v="5"/>
    <x v="23"/>
  </r>
  <r>
    <x v="60"/>
    <x v="0"/>
    <x v="0"/>
    <x v="4"/>
    <x v="60"/>
    <x v="60"/>
    <x v="5"/>
    <x v="5"/>
    <x v="5"/>
    <x v="5"/>
    <x v="2"/>
    <x v="156"/>
    <x v="622"/>
    <x v="143"/>
    <x v="222"/>
    <x v="121"/>
    <x v="384"/>
    <x v="5"/>
    <x v="23"/>
  </r>
  <r>
    <x v="60"/>
    <x v="0"/>
    <x v="0"/>
    <x v="4"/>
    <x v="60"/>
    <x v="60"/>
    <x v="2"/>
    <x v="2"/>
    <x v="2"/>
    <x v="2"/>
    <x v="3"/>
    <x v="180"/>
    <x v="623"/>
    <x v="206"/>
    <x v="638"/>
    <x v="231"/>
    <x v="454"/>
    <x v="5"/>
    <x v="23"/>
  </r>
  <r>
    <x v="60"/>
    <x v="0"/>
    <x v="0"/>
    <x v="4"/>
    <x v="60"/>
    <x v="60"/>
    <x v="0"/>
    <x v="0"/>
    <x v="0"/>
    <x v="0"/>
    <x v="4"/>
    <x v="121"/>
    <x v="114"/>
    <x v="81"/>
    <x v="639"/>
    <x v="145"/>
    <x v="591"/>
    <x v="5"/>
    <x v="23"/>
  </r>
  <r>
    <x v="60"/>
    <x v="0"/>
    <x v="0"/>
    <x v="4"/>
    <x v="60"/>
    <x v="60"/>
    <x v="8"/>
    <x v="8"/>
    <x v="8"/>
    <x v="8"/>
    <x v="5"/>
    <x v="181"/>
    <x v="269"/>
    <x v="54"/>
    <x v="461"/>
    <x v="142"/>
    <x v="592"/>
    <x v="5"/>
    <x v="23"/>
  </r>
  <r>
    <x v="60"/>
    <x v="0"/>
    <x v="0"/>
    <x v="4"/>
    <x v="60"/>
    <x v="60"/>
    <x v="6"/>
    <x v="6"/>
    <x v="6"/>
    <x v="6"/>
    <x v="6"/>
    <x v="134"/>
    <x v="624"/>
    <x v="72"/>
    <x v="637"/>
    <x v="179"/>
    <x v="593"/>
    <x v="5"/>
    <x v="23"/>
  </r>
  <r>
    <x v="60"/>
    <x v="0"/>
    <x v="0"/>
    <x v="4"/>
    <x v="60"/>
    <x v="60"/>
    <x v="3"/>
    <x v="3"/>
    <x v="3"/>
    <x v="3"/>
    <x v="7"/>
    <x v="123"/>
    <x v="116"/>
    <x v="75"/>
    <x v="402"/>
    <x v="180"/>
    <x v="71"/>
    <x v="5"/>
    <x v="23"/>
  </r>
  <r>
    <x v="60"/>
    <x v="0"/>
    <x v="0"/>
    <x v="4"/>
    <x v="60"/>
    <x v="60"/>
    <x v="15"/>
    <x v="15"/>
    <x v="15"/>
    <x v="15"/>
    <x v="8"/>
    <x v="136"/>
    <x v="378"/>
    <x v="97"/>
    <x v="525"/>
    <x v="116"/>
    <x v="594"/>
    <x v="5"/>
    <x v="23"/>
  </r>
  <r>
    <x v="60"/>
    <x v="0"/>
    <x v="0"/>
    <x v="4"/>
    <x v="60"/>
    <x v="60"/>
    <x v="48"/>
    <x v="48"/>
    <x v="48"/>
    <x v="48"/>
    <x v="9"/>
    <x v="147"/>
    <x v="296"/>
    <x v="103"/>
    <x v="640"/>
    <x v="273"/>
    <x v="463"/>
    <x v="5"/>
    <x v="23"/>
  </r>
  <r>
    <x v="60"/>
    <x v="0"/>
    <x v="0"/>
    <x v="4"/>
    <x v="60"/>
    <x v="60"/>
    <x v="12"/>
    <x v="12"/>
    <x v="12"/>
    <x v="12"/>
    <x v="10"/>
    <x v="137"/>
    <x v="87"/>
    <x v="94"/>
    <x v="610"/>
    <x v="135"/>
    <x v="175"/>
    <x v="5"/>
    <x v="23"/>
  </r>
  <r>
    <x v="60"/>
    <x v="0"/>
    <x v="0"/>
    <x v="4"/>
    <x v="60"/>
    <x v="60"/>
    <x v="9"/>
    <x v="9"/>
    <x v="9"/>
    <x v="9"/>
    <x v="10"/>
    <x v="137"/>
    <x v="87"/>
    <x v="108"/>
    <x v="231"/>
    <x v="272"/>
    <x v="459"/>
    <x v="5"/>
    <x v="23"/>
  </r>
  <r>
    <x v="60"/>
    <x v="0"/>
    <x v="0"/>
    <x v="4"/>
    <x v="60"/>
    <x v="60"/>
    <x v="19"/>
    <x v="19"/>
    <x v="19"/>
    <x v="19"/>
    <x v="12"/>
    <x v="228"/>
    <x v="407"/>
    <x v="79"/>
    <x v="289"/>
    <x v="180"/>
    <x v="71"/>
    <x v="5"/>
    <x v="23"/>
  </r>
  <r>
    <x v="60"/>
    <x v="0"/>
    <x v="0"/>
    <x v="4"/>
    <x v="60"/>
    <x v="60"/>
    <x v="10"/>
    <x v="10"/>
    <x v="10"/>
    <x v="10"/>
    <x v="13"/>
    <x v="223"/>
    <x v="52"/>
    <x v="94"/>
    <x v="610"/>
    <x v="184"/>
    <x v="504"/>
    <x v="5"/>
    <x v="23"/>
  </r>
  <r>
    <x v="60"/>
    <x v="0"/>
    <x v="0"/>
    <x v="4"/>
    <x v="60"/>
    <x v="60"/>
    <x v="7"/>
    <x v="7"/>
    <x v="7"/>
    <x v="7"/>
    <x v="13"/>
    <x v="223"/>
    <x v="52"/>
    <x v="44"/>
    <x v="641"/>
    <x v="171"/>
    <x v="595"/>
    <x v="5"/>
    <x v="23"/>
  </r>
  <r>
    <x v="60"/>
    <x v="0"/>
    <x v="0"/>
    <x v="4"/>
    <x v="60"/>
    <x v="60"/>
    <x v="13"/>
    <x v="13"/>
    <x v="13"/>
    <x v="13"/>
    <x v="15"/>
    <x v="365"/>
    <x v="625"/>
    <x v="126"/>
    <x v="120"/>
    <x v="186"/>
    <x v="9"/>
    <x v="5"/>
    <x v="23"/>
  </r>
  <r>
    <x v="60"/>
    <x v="0"/>
    <x v="0"/>
    <x v="4"/>
    <x v="60"/>
    <x v="60"/>
    <x v="32"/>
    <x v="32"/>
    <x v="32"/>
    <x v="32"/>
    <x v="15"/>
    <x v="365"/>
    <x v="625"/>
    <x v="116"/>
    <x v="74"/>
    <x v="273"/>
    <x v="463"/>
    <x v="5"/>
    <x v="23"/>
  </r>
  <r>
    <x v="60"/>
    <x v="0"/>
    <x v="0"/>
    <x v="4"/>
    <x v="60"/>
    <x v="60"/>
    <x v="21"/>
    <x v="21"/>
    <x v="21"/>
    <x v="21"/>
    <x v="17"/>
    <x v="366"/>
    <x v="191"/>
    <x v="56"/>
    <x v="36"/>
    <x v="185"/>
    <x v="289"/>
    <x v="5"/>
    <x v="23"/>
  </r>
  <r>
    <x v="60"/>
    <x v="0"/>
    <x v="0"/>
    <x v="4"/>
    <x v="60"/>
    <x v="60"/>
    <x v="18"/>
    <x v="18"/>
    <x v="18"/>
    <x v="18"/>
    <x v="17"/>
    <x v="366"/>
    <x v="191"/>
    <x v="71"/>
    <x v="642"/>
    <x v="272"/>
    <x v="459"/>
    <x v="5"/>
    <x v="23"/>
  </r>
  <r>
    <x v="60"/>
    <x v="0"/>
    <x v="0"/>
    <x v="4"/>
    <x v="60"/>
    <x v="60"/>
    <x v="11"/>
    <x v="11"/>
    <x v="11"/>
    <x v="11"/>
    <x v="19"/>
    <x v="395"/>
    <x v="109"/>
    <x v="97"/>
    <x v="525"/>
    <x v="275"/>
    <x v="596"/>
    <x v="5"/>
    <x v="23"/>
  </r>
  <r>
    <x v="60"/>
    <x v="0"/>
    <x v="0"/>
    <x v="4"/>
    <x v="60"/>
    <x v="60"/>
    <x v="49"/>
    <x v="49"/>
    <x v="49"/>
    <x v="49"/>
    <x v="19"/>
    <x v="395"/>
    <x v="109"/>
    <x v="125"/>
    <x v="226"/>
    <x v="187"/>
    <x v="15"/>
    <x v="5"/>
    <x v="23"/>
  </r>
  <r>
    <x v="61"/>
    <x v="0"/>
    <x v="0"/>
    <x v="4"/>
    <x v="61"/>
    <x v="61"/>
    <x v="1"/>
    <x v="1"/>
    <x v="1"/>
    <x v="1"/>
    <x v="0"/>
    <x v="369"/>
    <x v="626"/>
    <x v="116"/>
    <x v="643"/>
    <x v="275"/>
    <x v="415"/>
    <x v="5"/>
    <x v="5"/>
  </r>
  <r>
    <x v="61"/>
    <x v="0"/>
    <x v="0"/>
    <x v="4"/>
    <x v="61"/>
    <x v="61"/>
    <x v="4"/>
    <x v="4"/>
    <x v="4"/>
    <x v="4"/>
    <x v="1"/>
    <x v="392"/>
    <x v="627"/>
    <x v="125"/>
    <x v="644"/>
    <x v="273"/>
    <x v="597"/>
    <x v="5"/>
    <x v="5"/>
  </r>
  <r>
    <x v="61"/>
    <x v="0"/>
    <x v="0"/>
    <x v="4"/>
    <x v="61"/>
    <x v="61"/>
    <x v="3"/>
    <x v="3"/>
    <x v="3"/>
    <x v="3"/>
    <x v="1"/>
    <x v="392"/>
    <x v="627"/>
    <x v="57"/>
    <x v="645"/>
    <x v="275"/>
    <x v="415"/>
    <x v="5"/>
    <x v="5"/>
  </r>
  <r>
    <x v="61"/>
    <x v="0"/>
    <x v="0"/>
    <x v="4"/>
    <x v="61"/>
    <x v="61"/>
    <x v="2"/>
    <x v="2"/>
    <x v="2"/>
    <x v="2"/>
    <x v="3"/>
    <x v="396"/>
    <x v="628"/>
    <x v="71"/>
    <x v="646"/>
    <x v="171"/>
    <x v="126"/>
    <x v="5"/>
    <x v="5"/>
  </r>
  <r>
    <x v="61"/>
    <x v="0"/>
    <x v="0"/>
    <x v="4"/>
    <x v="61"/>
    <x v="61"/>
    <x v="8"/>
    <x v="8"/>
    <x v="8"/>
    <x v="8"/>
    <x v="4"/>
    <x v="397"/>
    <x v="629"/>
    <x v="56"/>
    <x v="647"/>
    <x v="275"/>
    <x v="415"/>
    <x v="5"/>
    <x v="5"/>
  </r>
  <r>
    <x v="61"/>
    <x v="0"/>
    <x v="0"/>
    <x v="4"/>
    <x v="61"/>
    <x v="61"/>
    <x v="9"/>
    <x v="9"/>
    <x v="9"/>
    <x v="9"/>
    <x v="4"/>
    <x v="397"/>
    <x v="629"/>
    <x v="79"/>
    <x v="648"/>
    <x v="171"/>
    <x v="126"/>
    <x v="5"/>
    <x v="5"/>
  </r>
  <r>
    <x v="61"/>
    <x v="0"/>
    <x v="0"/>
    <x v="4"/>
    <x v="61"/>
    <x v="61"/>
    <x v="7"/>
    <x v="7"/>
    <x v="7"/>
    <x v="7"/>
    <x v="4"/>
    <x v="397"/>
    <x v="629"/>
    <x v="71"/>
    <x v="646"/>
    <x v="230"/>
    <x v="328"/>
    <x v="5"/>
    <x v="5"/>
  </r>
  <r>
    <x v="61"/>
    <x v="0"/>
    <x v="0"/>
    <x v="4"/>
    <x v="61"/>
    <x v="61"/>
    <x v="5"/>
    <x v="5"/>
    <x v="5"/>
    <x v="5"/>
    <x v="7"/>
    <x v="398"/>
    <x v="630"/>
    <x v="125"/>
    <x v="644"/>
    <x v="171"/>
    <x v="126"/>
    <x v="5"/>
    <x v="5"/>
  </r>
  <r>
    <x v="61"/>
    <x v="0"/>
    <x v="0"/>
    <x v="4"/>
    <x v="61"/>
    <x v="61"/>
    <x v="15"/>
    <x v="15"/>
    <x v="15"/>
    <x v="15"/>
    <x v="7"/>
    <x v="398"/>
    <x v="630"/>
    <x v="79"/>
    <x v="648"/>
    <x v="230"/>
    <x v="328"/>
    <x v="5"/>
    <x v="5"/>
  </r>
  <r>
    <x v="61"/>
    <x v="0"/>
    <x v="0"/>
    <x v="4"/>
    <x v="61"/>
    <x v="61"/>
    <x v="6"/>
    <x v="6"/>
    <x v="6"/>
    <x v="6"/>
    <x v="7"/>
    <x v="398"/>
    <x v="630"/>
    <x v="125"/>
    <x v="644"/>
    <x v="171"/>
    <x v="126"/>
    <x v="5"/>
    <x v="5"/>
  </r>
  <r>
    <x v="61"/>
    <x v="0"/>
    <x v="0"/>
    <x v="4"/>
    <x v="61"/>
    <x v="61"/>
    <x v="0"/>
    <x v="0"/>
    <x v="0"/>
    <x v="0"/>
    <x v="7"/>
    <x v="398"/>
    <x v="630"/>
    <x v="84"/>
    <x v="89"/>
    <x v="275"/>
    <x v="415"/>
    <x v="5"/>
    <x v="5"/>
  </r>
  <r>
    <x v="61"/>
    <x v="0"/>
    <x v="0"/>
    <x v="4"/>
    <x v="61"/>
    <x v="61"/>
    <x v="36"/>
    <x v="36"/>
    <x v="36"/>
    <x v="36"/>
    <x v="11"/>
    <x v="399"/>
    <x v="603"/>
    <x v="84"/>
    <x v="89"/>
    <x v="282"/>
    <x v="598"/>
    <x v="5"/>
    <x v="5"/>
  </r>
  <r>
    <x v="61"/>
    <x v="0"/>
    <x v="0"/>
    <x v="4"/>
    <x v="61"/>
    <x v="61"/>
    <x v="42"/>
    <x v="42"/>
    <x v="42"/>
    <x v="42"/>
    <x v="11"/>
    <x v="399"/>
    <x v="603"/>
    <x v="84"/>
    <x v="89"/>
    <x v="282"/>
    <x v="598"/>
    <x v="5"/>
    <x v="5"/>
  </r>
  <r>
    <x v="61"/>
    <x v="0"/>
    <x v="0"/>
    <x v="4"/>
    <x v="61"/>
    <x v="61"/>
    <x v="11"/>
    <x v="11"/>
    <x v="11"/>
    <x v="11"/>
    <x v="11"/>
    <x v="399"/>
    <x v="603"/>
    <x v="56"/>
    <x v="647"/>
    <x v="171"/>
    <x v="126"/>
    <x v="5"/>
    <x v="5"/>
  </r>
  <r>
    <x v="61"/>
    <x v="0"/>
    <x v="0"/>
    <x v="4"/>
    <x v="61"/>
    <x v="61"/>
    <x v="26"/>
    <x v="26"/>
    <x v="26"/>
    <x v="26"/>
    <x v="11"/>
    <x v="399"/>
    <x v="603"/>
    <x v="125"/>
    <x v="644"/>
    <x v="230"/>
    <x v="328"/>
    <x v="5"/>
    <x v="5"/>
  </r>
  <r>
    <x v="61"/>
    <x v="0"/>
    <x v="0"/>
    <x v="4"/>
    <x v="61"/>
    <x v="61"/>
    <x v="31"/>
    <x v="31"/>
    <x v="31"/>
    <x v="31"/>
    <x v="11"/>
    <x v="399"/>
    <x v="603"/>
    <x v="56"/>
    <x v="647"/>
    <x v="171"/>
    <x v="126"/>
    <x v="5"/>
    <x v="5"/>
  </r>
  <r>
    <x v="61"/>
    <x v="0"/>
    <x v="0"/>
    <x v="4"/>
    <x v="61"/>
    <x v="61"/>
    <x v="32"/>
    <x v="32"/>
    <x v="32"/>
    <x v="32"/>
    <x v="11"/>
    <x v="399"/>
    <x v="603"/>
    <x v="56"/>
    <x v="647"/>
    <x v="171"/>
    <x v="126"/>
    <x v="5"/>
    <x v="5"/>
  </r>
  <r>
    <x v="61"/>
    <x v="0"/>
    <x v="0"/>
    <x v="4"/>
    <x v="61"/>
    <x v="61"/>
    <x v="39"/>
    <x v="39"/>
    <x v="39"/>
    <x v="39"/>
    <x v="17"/>
    <x v="400"/>
    <x v="154"/>
    <x v="84"/>
    <x v="89"/>
    <x v="171"/>
    <x v="126"/>
    <x v="5"/>
    <x v="5"/>
  </r>
  <r>
    <x v="61"/>
    <x v="0"/>
    <x v="0"/>
    <x v="4"/>
    <x v="61"/>
    <x v="61"/>
    <x v="19"/>
    <x v="19"/>
    <x v="19"/>
    <x v="19"/>
    <x v="17"/>
    <x v="400"/>
    <x v="154"/>
    <x v="84"/>
    <x v="89"/>
    <x v="171"/>
    <x v="126"/>
    <x v="5"/>
    <x v="5"/>
  </r>
  <r>
    <x v="61"/>
    <x v="0"/>
    <x v="0"/>
    <x v="4"/>
    <x v="61"/>
    <x v="61"/>
    <x v="35"/>
    <x v="35"/>
    <x v="35"/>
    <x v="35"/>
    <x v="17"/>
    <x v="400"/>
    <x v="154"/>
    <x v="84"/>
    <x v="89"/>
    <x v="171"/>
    <x v="126"/>
    <x v="5"/>
    <x v="5"/>
  </r>
  <r>
    <x v="61"/>
    <x v="0"/>
    <x v="0"/>
    <x v="4"/>
    <x v="61"/>
    <x v="61"/>
    <x v="21"/>
    <x v="21"/>
    <x v="21"/>
    <x v="21"/>
    <x v="17"/>
    <x v="400"/>
    <x v="154"/>
    <x v="84"/>
    <x v="89"/>
    <x v="171"/>
    <x v="126"/>
    <x v="5"/>
    <x v="5"/>
  </r>
  <r>
    <x v="61"/>
    <x v="0"/>
    <x v="0"/>
    <x v="4"/>
    <x v="61"/>
    <x v="61"/>
    <x v="12"/>
    <x v="12"/>
    <x v="12"/>
    <x v="12"/>
    <x v="17"/>
    <x v="400"/>
    <x v="154"/>
    <x v="84"/>
    <x v="89"/>
    <x v="171"/>
    <x v="126"/>
    <x v="5"/>
    <x v="5"/>
  </r>
  <r>
    <x v="61"/>
    <x v="0"/>
    <x v="0"/>
    <x v="4"/>
    <x v="61"/>
    <x v="61"/>
    <x v="29"/>
    <x v="29"/>
    <x v="29"/>
    <x v="29"/>
    <x v="17"/>
    <x v="400"/>
    <x v="154"/>
    <x v="84"/>
    <x v="89"/>
    <x v="171"/>
    <x v="126"/>
    <x v="5"/>
    <x v="5"/>
  </r>
  <r>
    <x v="61"/>
    <x v="0"/>
    <x v="0"/>
    <x v="4"/>
    <x v="61"/>
    <x v="61"/>
    <x v="14"/>
    <x v="14"/>
    <x v="14"/>
    <x v="14"/>
    <x v="17"/>
    <x v="400"/>
    <x v="154"/>
    <x v="84"/>
    <x v="89"/>
    <x v="171"/>
    <x v="126"/>
    <x v="5"/>
    <x v="5"/>
  </r>
  <r>
    <x v="61"/>
    <x v="0"/>
    <x v="0"/>
    <x v="4"/>
    <x v="61"/>
    <x v="61"/>
    <x v="13"/>
    <x v="13"/>
    <x v="13"/>
    <x v="13"/>
    <x v="17"/>
    <x v="400"/>
    <x v="154"/>
    <x v="84"/>
    <x v="89"/>
    <x v="171"/>
    <x v="126"/>
    <x v="5"/>
    <x v="5"/>
  </r>
  <r>
    <x v="61"/>
    <x v="0"/>
    <x v="0"/>
    <x v="4"/>
    <x v="61"/>
    <x v="61"/>
    <x v="23"/>
    <x v="23"/>
    <x v="23"/>
    <x v="23"/>
    <x v="17"/>
    <x v="400"/>
    <x v="154"/>
    <x v="84"/>
    <x v="89"/>
    <x v="171"/>
    <x v="126"/>
    <x v="5"/>
    <x v="5"/>
  </r>
  <r>
    <x v="61"/>
    <x v="0"/>
    <x v="0"/>
    <x v="4"/>
    <x v="61"/>
    <x v="61"/>
    <x v="49"/>
    <x v="49"/>
    <x v="49"/>
    <x v="49"/>
    <x v="17"/>
    <x v="400"/>
    <x v="154"/>
    <x v="84"/>
    <x v="89"/>
    <x v="171"/>
    <x v="126"/>
    <x v="5"/>
    <x v="5"/>
  </r>
  <r>
    <x v="61"/>
    <x v="0"/>
    <x v="0"/>
    <x v="4"/>
    <x v="61"/>
    <x v="61"/>
    <x v="50"/>
    <x v="50"/>
    <x v="50"/>
    <x v="50"/>
    <x v="17"/>
    <x v="400"/>
    <x v="154"/>
    <x v="84"/>
    <x v="89"/>
    <x v="230"/>
    <x v="328"/>
    <x v="8"/>
    <x v="28"/>
  </r>
  <r>
    <x v="61"/>
    <x v="0"/>
    <x v="0"/>
    <x v="4"/>
    <x v="61"/>
    <x v="61"/>
    <x v="18"/>
    <x v="18"/>
    <x v="18"/>
    <x v="18"/>
    <x v="17"/>
    <x v="400"/>
    <x v="154"/>
    <x v="84"/>
    <x v="89"/>
    <x v="171"/>
    <x v="126"/>
    <x v="5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8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2"/>
    <x v="2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3"/>
    <x v="3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5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6"/>
    <x v="7"/>
    <x v="7"/>
    <x v="7"/>
    <x v="7"/>
    <x v="1"/>
    <x v="1"/>
  </r>
  <r>
    <x v="0"/>
    <x v="0"/>
    <x v="0"/>
    <x v="0"/>
    <x v="0"/>
    <x v="0"/>
    <x v="8"/>
    <x v="8"/>
    <x v="8"/>
    <x v="8"/>
    <x v="8"/>
    <x v="8"/>
    <x v="7"/>
    <x v="8"/>
    <x v="8"/>
    <x v="8"/>
    <x v="8"/>
    <x v="1"/>
    <x v="1"/>
  </r>
  <r>
    <x v="0"/>
    <x v="0"/>
    <x v="0"/>
    <x v="0"/>
    <x v="0"/>
    <x v="0"/>
    <x v="9"/>
    <x v="9"/>
    <x v="9"/>
    <x v="9"/>
    <x v="9"/>
    <x v="9"/>
    <x v="8"/>
    <x v="9"/>
    <x v="9"/>
    <x v="9"/>
    <x v="9"/>
    <x v="4"/>
    <x v="4"/>
  </r>
  <r>
    <x v="0"/>
    <x v="0"/>
    <x v="0"/>
    <x v="0"/>
    <x v="0"/>
    <x v="0"/>
    <x v="10"/>
    <x v="10"/>
    <x v="10"/>
    <x v="10"/>
    <x v="10"/>
    <x v="10"/>
    <x v="9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0"/>
    <x v="11"/>
    <x v="11"/>
    <x v="11"/>
    <x v="11"/>
    <x v="5"/>
    <x v="5"/>
  </r>
  <r>
    <x v="0"/>
    <x v="0"/>
    <x v="0"/>
    <x v="0"/>
    <x v="0"/>
    <x v="0"/>
    <x v="12"/>
    <x v="12"/>
    <x v="12"/>
    <x v="12"/>
    <x v="12"/>
    <x v="12"/>
    <x v="11"/>
    <x v="12"/>
    <x v="12"/>
    <x v="12"/>
    <x v="12"/>
    <x v="2"/>
    <x v="2"/>
  </r>
  <r>
    <x v="0"/>
    <x v="0"/>
    <x v="0"/>
    <x v="0"/>
    <x v="0"/>
    <x v="0"/>
    <x v="13"/>
    <x v="13"/>
    <x v="13"/>
    <x v="13"/>
    <x v="13"/>
    <x v="13"/>
    <x v="12"/>
    <x v="13"/>
    <x v="13"/>
    <x v="13"/>
    <x v="13"/>
    <x v="2"/>
    <x v="2"/>
  </r>
  <r>
    <x v="0"/>
    <x v="0"/>
    <x v="0"/>
    <x v="0"/>
    <x v="0"/>
    <x v="0"/>
    <x v="14"/>
    <x v="14"/>
    <x v="14"/>
    <x v="14"/>
    <x v="14"/>
    <x v="14"/>
    <x v="13"/>
    <x v="14"/>
    <x v="14"/>
    <x v="14"/>
    <x v="14"/>
    <x v="2"/>
    <x v="2"/>
  </r>
  <r>
    <x v="0"/>
    <x v="0"/>
    <x v="0"/>
    <x v="0"/>
    <x v="0"/>
    <x v="0"/>
    <x v="15"/>
    <x v="15"/>
    <x v="15"/>
    <x v="15"/>
    <x v="15"/>
    <x v="15"/>
    <x v="14"/>
    <x v="15"/>
    <x v="15"/>
    <x v="15"/>
    <x v="15"/>
    <x v="1"/>
    <x v="1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6"/>
    <x v="17"/>
    <x v="16"/>
    <x v="17"/>
    <x v="17"/>
    <x v="1"/>
    <x v="1"/>
  </r>
  <r>
    <x v="0"/>
    <x v="0"/>
    <x v="0"/>
    <x v="0"/>
    <x v="0"/>
    <x v="0"/>
    <x v="18"/>
    <x v="18"/>
    <x v="18"/>
    <x v="18"/>
    <x v="18"/>
    <x v="18"/>
    <x v="17"/>
    <x v="18"/>
    <x v="17"/>
    <x v="18"/>
    <x v="18"/>
    <x v="2"/>
    <x v="2"/>
  </r>
  <r>
    <x v="0"/>
    <x v="0"/>
    <x v="0"/>
    <x v="0"/>
    <x v="0"/>
    <x v="0"/>
    <x v="19"/>
    <x v="19"/>
    <x v="19"/>
    <x v="19"/>
    <x v="19"/>
    <x v="19"/>
    <x v="18"/>
    <x v="19"/>
    <x v="18"/>
    <x v="19"/>
    <x v="19"/>
    <x v="2"/>
    <x v="2"/>
  </r>
  <r>
    <x v="1"/>
    <x v="0"/>
    <x v="0"/>
    <x v="1"/>
    <x v="1"/>
    <x v="1"/>
    <x v="0"/>
    <x v="0"/>
    <x v="0"/>
    <x v="0"/>
    <x v="0"/>
    <x v="20"/>
    <x v="19"/>
    <x v="20"/>
    <x v="19"/>
    <x v="20"/>
    <x v="20"/>
    <x v="2"/>
    <x v="2"/>
  </r>
  <r>
    <x v="1"/>
    <x v="0"/>
    <x v="0"/>
    <x v="1"/>
    <x v="1"/>
    <x v="1"/>
    <x v="1"/>
    <x v="1"/>
    <x v="1"/>
    <x v="1"/>
    <x v="1"/>
    <x v="21"/>
    <x v="20"/>
    <x v="21"/>
    <x v="20"/>
    <x v="21"/>
    <x v="21"/>
    <x v="1"/>
    <x v="6"/>
  </r>
  <r>
    <x v="1"/>
    <x v="0"/>
    <x v="0"/>
    <x v="1"/>
    <x v="1"/>
    <x v="1"/>
    <x v="3"/>
    <x v="3"/>
    <x v="3"/>
    <x v="3"/>
    <x v="2"/>
    <x v="22"/>
    <x v="21"/>
    <x v="22"/>
    <x v="21"/>
    <x v="22"/>
    <x v="12"/>
    <x v="2"/>
    <x v="2"/>
  </r>
  <r>
    <x v="1"/>
    <x v="0"/>
    <x v="0"/>
    <x v="1"/>
    <x v="1"/>
    <x v="1"/>
    <x v="2"/>
    <x v="2"/>
    <x v="2"/>
    <x v="2"/>
    <x v="3"/>
    <x v="23"/>
    <x v="22"/>
    <x v="23"/>
    <x v="22"/>
    <x v="23"/>
    <x v="22"/>
    <x v="2"/>
    <x v="2"/>
  </r>
  <r>
    <x v="1"/>
    <x v="0"/>
    <x v="0"/>
    <x v="1"/>
    <x v="1"/>
    <x v="1"/>
    <x v="5"/>
    <x v="5"/>
    <x v="5"/>
    <x v="5"/>
    <x v="4"/>
    <x v="24"/>
    <x v="23"/>
    <x v="24"/>
    <x v="23"/>
    <x v="24"/>
    <x v="5"/>
    <x v="1"/>
    <x v="6"/>
  </r>
  <r>
    <x v="1"/>
    <x v="0"/>
    <x v="0"/>
    <x v="1"/>
    <x v="1"/>
    <x v="1"/>
    <x v="4"/>
    <x v="4"/>
    <x v="4"/>
    <x v="4"/>
    <x v="5"/>
    <x v="25"/>
    <x v="24"/>
    <x v="25"/>
    <x v="24"/>
    <x v="25"/>
    <x v="23"/>
    <x v="1"/>
    <x v="6"/>
  </r>
  <r>
    <x v="1"/>
    <x v="0"/>
    <x v="0"/>
    <x v="1"/>
    <x v="1"/>
    <x v="1"/>
    <x v="6"/>
    <x v="6"/>
    <x v="6"/>
    <x v="6"/>
    <x v="6"/>
    <x v="26"/>
    <x v="25"/>
    <x v="26"/>
    <x v="25"/>
    <x v="26"/>
    <x v="24"/>
    <x v="2"/>
    <x v="2"/>
  </r>
  <r>
    <x v="1"/>
    <x v="0"/>
    <x v="0"/>
    <x v="1"/>
    <x v="1"/>
    <x v="1"/>
    <x v="7"/>
    <x v="7"/>
    <x v="7"/>
    <x v="7"/>
    <x v="7"/>
    <x v="27"/>
    <x v="26"/>
    <x v="27"/>
    <x v="26"/>
    <x v="27"/>
    <x v="25"/>
    <x v="2"/>
    <x v="2"/>
  </r>
  <r>
    <x v="1"/>
    <x v="0"/>
    <x v="0"/>
    <x v="1"/>
    <x v="1"/>
    <x v="1"/>
    <x v="8"/>
    <x v="8"/>
    <x v="8"/>
    <x v="8"/>
    <x v="8"/>
    <x v="28"/>
    <x v="27"/>
    <x v="28"/>
    <x v="27"/>
    <x v="28"/>
    <x v="26"/>
    <x v="1"/>
    <x v="6"/>
  </r>
  <r>
    <x v="1"/>
    <x v="0"/>
    <x v="0"/>
    <x v="1"/>
    <x v="1"/>
    <x v="1"/>
    <x v="9"/>
    <x v="9"/>
    <x v="9"/>
    <x v="9"/>
    <x v="9"/>
    <x v="29"/>
    <x v="28"/>
    <x v="29"/>
    <x v="28"/>
    <x v="29"/>
    <x v="27"/>
    <x v="6"/>
    <x v="7"/>
  </r>
  <r>
    <x v="1"/>
    <x v="0"/>
    <x v="0"/>
    <x v="1"/>
    <x v="1"/>
    <x v="1"/>
    <x v="14"/>
    <x v="14"/>
    <x v="14"/>
    <x v="14"/>
    <x v="10"/>
    <x v="30"/>
    <x v="29"/>
    <x v="30"/>
    <x v="16"/>
    <x v="30"/>
    <x v="28"/>
    <x v="2"/>
    <x v="2"/>
  </r>
  <r>
    <x v="1"/>
    <x v="0"/>
    <x v="0"/>
    <x v="1"/>
    <x v="1"/>
    <x v="1"/>
    <x v="13"/>
    <x v="13"/>
    <x v="13"/>
    <x v="13"/>
    <x v="11"/>
    <x v="31"/>
    <x v="30"/>
    <x v="31"/>
    <x v="29"/>
    <x v="31"/>
    <x v="29"/>
    <x v="2"/>
    <x v="2"/>
  </r>
  <r>
    <x v="1"/>
    <x v="0"/>
    <x v="0"/>
    <x v="1"/>
    <x v="1"/>
    <x v="1"/>
    <x v="10"/>
    <x v="10"/>
    <x v="10"/>
    <x v="10"/>
    <x v="12"/>
    <x v="32"/>
    <x v="31"/>
    <x v="32"/>
    <x v="30"/>
    <x v="32"/>
    <x v="21"/>
    <x v="2"/>
    <x v="2"/>
  </r>
  <r>
    <x v="1"/>
    <x v="0"/>
    <x v="0"/>
    <x v="1"/>
    <x v="1"/>
    <x v="1"/>
    <x v="12"/>
    <x v="12"/>
    <x v="12"/>
    <x v="12"/>
    <x v="13"/>
    <x v="33"/>
    <x v="11"/>
    <x v="33"/>
    <x v="31"/>
    <x v="33"/>
    <x v="23"/>
    <x v="2"/>
    <x v="2"/>
  </r>
  <r>
    <x v="1"/>
    <x v="0"/>
    <x v="0"/>
    <x v="1"/>
    <x v="1"/>
    <x v="1"/>
    <x v="11"/>
    <x v="11"/>
    <x v="11"/>
    <x v="11"/>
    <x v="14"/>
    <x v="34"/>
    <x v="32"/>
    <x v="34"/>
    <x v="32"/>
    <x v="34"/>
    <x v="11"/>
    <x v="0"/>
    <x v="8"/>
  </r>
  <r>
    <x v="1"/>
    <x v="0"/>
    <x v="0"/>
    <x v="1"/>
    <x v="1"/>
    <x v="1"/>
    <x v="20"/>
    <x v="20"/>
    <x v="20"/>
    <x v="20"/>
    <x v="15"/>
    <x v="35"/>
    <x v="33"/>
    <x v="35"/>
    <x v="33"/>
    <x v="35"/>
    <x v="30"/>
    <x v="2"/>
    <x v="2"/>
  </r>
  <r>
    <x v="1"/>
    <x v="0"/>
    <x v="0"/>
    <x v="1"/>
    <x v="1"/>
    <x v="1"/>
    <x v="21"/>
    <x v="21"/>
    <x v="21"/>
    <x v="21"/>
    <x v="16"/>
    <x v="36"/>
    <x v="34"/>
    <x v="36"/>
    <x v="34"/>
    <x v="36"/>
    <x v="31"/>
    <x v="2"/>
    <x v="2"/>
  </r>
  <r>
    <x v="1"/>
    <x v="0"/>
    <x v="0"/>
    <x v="1"/>
    <x v="1"/>
    <x v="1"/>
    <x v="18"/>
    <x v="18"/>
    <x v="18"/>
    <x v="18"/>
    <x v="17"/>
    <x v="37"/>
    <x v="35"/>
    <x v="37"/>
    <x v="35"/>
    <x v="37"/>
    <x v="32"/>
    <x v="2"/>
    <x v="2"/>
  </r>
  <r>
    <x v="1"/>
    <x v="0"/>
    <x v="0"/>
    <x v="1"/>
    <x v="1"/>
    <x v="1"/>
    <x v="15"/>
    <x v="15"/>
    <x v="15"/>
    <x v="15"/>
    <x v="18"/>
    <x v="38"/>
    <x v="35"/>
    <x v="38"/>
    <x v="36"/>
    <x v="38"/>
    <x v="33"/>
    <x v="2"/>
    <x v="2"/>
  </r>
  <r>
    <x v="1"/>
    <x v="0"/>
    <x v="0"/>
    <x v="1"/>
    <x v="1"/>
    <x v="1"/>
    <x v="17"/>
    <x v="17"/>
    <x v="17"/>
    <x v="17"/>
    <x v="19"/>
    <x v="39"/>
    <x v="36"/>
    <x v="39"/>
    <x v="37"/>
    <x v="39"/>
    <x v="33"/>
    <x v="1"/>
    <x v="6"/>
  </r>
  <r>
    <x v="2"/>
    <x v="0"/>
    <x v="0"/>
    <x v="2"/>
    <x v="2"/>
    <x v="2"/>
    <x v="0"/>
    <x v="0"/>
    <x v="0"/>
    <x v="0"/>
    <x v="0"/>
    <x v="40"/>
    <x v="37"/>
    <x v="40"/>
    <x v="38"/>
    <x v="40"/>
    <x v="34"/>
    <x v="2"/>
    <x v="2"/>
  </r>
  <r>
    <x v="2"/>
    <x v="0"/>
    <x v="0"/>
    <x v="2"/>
    <x v="2"/>
    <x v="2"/>
    <x v="2"/>
    <x v="2"/>
    <x v="2"/>
    <x v="2"/>
    <x v="1"/>
    <x v="41"/>
    <x v="38"/>
    <x v="41"/>
    <x v="39"/>
    <x v="41"/>
    <x v="35"/>
    <x v="2"/>
    <x v="2"/>
  </r>
  <r>
    <x v="2"/>
    <x v="0"/>
    <x v="0"/>
    <x v="2"/>
    <x v="2"/>
    <x v="2"/>
    <x v="1"/>
    <x v="1"/>
    <x v="1"/>
    <x v="1"/>
    <x v="2"/>
    <x v="42"/>
    <x v="39"/>
    <x v="42"/>
    <x v="40"/>
    <x v="42"/>
    <x v="36"/>
    <x v="2"/>
    <x v="2"/>
  </r>
  <r>
    <x v="2"/>
    <x v="0"/>
    <x v="0"/>
    <x v="2"/>
    <x v="2"/>
    <x v="2"/>
    <x v="3"/>
    <x v="3"/>
    <x v="3"/>
    <x v="3"/>
    <x v="3"/>
    <x v="43"/>
    <x v="40"/>
    <x v="43"/>
    <x v="41"/>
    <x v="43"/>
    <x v="37"/>
    <x v="2"/>
    <x v="2"/>
  </r>
  <r>
    <x v="2"/>
    <x v="0"/>
    <x v="0"/>
    <x v="2"/>
    <x v="2"/>
    <x v="2"/>
    <x v="6"/>
    <x v="6"/>
    <x v="6"/>
    <x v="6"/>
    <x v="4"/>
    <x v="44"/>
    <x v="41"/>
    <x v="44"/>
    <x v="42"/>
    <x v="44"/>
    <x v="38"/>
    <x v="2"/>
    <x v="2"/>
  </r>
  <r>
    <x v="2"/>
    <x v="0"/>
    <x v="0"/>
    <x v="2"/>
    <x v="2"/>
    <x v="2"/>
    <x v="7"/>
    <x v="7"/>
    <x v="7"/>
    <x v="7"/>
    <x v="5"/>
    <x v="45"/>
    <x v="42"/>
    <x v="45"/>
    <x v="43"/>
    <x v="45"/>
    <x v="39"/>
    <x v="2"/>
    <x v="2"/>
  </r>
  <r>
    <x v="2"/>
    <x v="0"/>
    <x v="0"/>
    <x v="2"/>
    <x v="2"/>
    <x v="2"/>
    <x v="8"/>
    <x v="8"/>
    <x v="8"/>
    <x v="8"/>
    <x v="6"/>
    <x v="46"/>
    <x v="43"/>
    <x v="46"/>
    <x v="44"/>
    <x v="46"/>
    <x v="40"/>
    <x v="2"/>
    <x v="2"/>
  </r>
  <r>
    <x v="2"/>
    <x v="0"/>
    <x v="0"/>
    <x v="2"/>
    <x v="2"/>
    <x v="2"/>
    <x v="13"/>
    <x v="13"/>
    <x v="13"/>
    <x v="13"/>
    <x v="7"/>
    <x v="47"/>
    <x v="44"/>
    <x v="47"/>
    <x v="45"/>
    <x v="47"/>
    <x v="41"/>
    <x v="2"/>
    <x v="2"/>
  </r>
  <r>
    <x v="2"/>
    <x v="0"/>
    <x v="0"/>
    <x v="2"/>
    <x v="2"/>
    <x v="2"/>
    <x v="4"/>
    <x v="4"/>
    <x v="4"/>
    <x v="4"/>
    <x v="8"/>
    <x v="48"/>
    <x v="45"/>
    <x v="48"/>
    <x v="46"/>
    <x v="48"/>
    <x v="42"/>
    <x v="2"/>
    <x v="2"/>
  </r>
  <r>
    <x v="2"/>
    <x v="0"/>
    <x v="0"/>
    <x v="2"/>
    <x v="2"/>
    <x v="2"/>
    <x v="10"/>
    <x v="10"/>
    <x v="10"/>
    <x v="10"/>
    <x v="9"/>
    <x v="49"/>
    <x v="46"/>
    <x v="49"/>
    <x v="47"/>
    <x v="49"/>
    <x v="43"/>
    <x v="2"/>
    <x v="2"/>
  </r>
  <r>
    <x v="2"/>
    <x v="0"/>
    <x v="0"/>
    <x v="2"/>
    <x v="2"/>
    <x v="2"/>
    <x v="5"/>
    <x v="5"/>
    <x v="5"/>
    <x v="5"/>
    <x v="10"/>
    <x v="50"/>
    <x v="47"/>
    <x v="50"/>
    <x v="48"/>
    <x v="41"/>
    <x v="35"/>
    <x v="2"/>
    <x v="2"/>
  </r>
  <r>
    <x v="2"/>
    <x v="0"/>
    <x v="0"/>
    <x v="2"/>
    <x v="2"/>
    <x v="2"/>
    <x v="15"/>
    <x v="15"/>
    <x v="15"/>
    <x v="15"/>
    <x v="11"/>
    <x v="51"/>
    <x v="48"/>
    <x v="51"/>
    <x v="49"/>
    <x v="50"/>
    <x v="44"/>
    <x v="2"/>
    <x v="2"/>
  </r>
  <r>
    <x v="2"/>
    <x v="0"/>
    <x v="0"/>
    <x v="2"/>
    <x v="2"/>
    <x v="2"/>
    <x v="12"/>
    <x v="12"/>
    <x v="12"/>
    <x v="12"/>
    <x v="12"/>
    <x v="52"/>
    <x v="49"/>
    <x v="52"/>
    <x v="50"/>
    <x v="51"/>
    <x v="45"/>
    <x v="2"/>
    <x v="2"/>
  </r>
  <r>
    <x v="2"/>
    <x v="0"/>
    <x v="0"/>
    <x v="2"/>
    <x v="2"/>
    <x v="2"/>
    <x v="9"/>
    <x v="9"/>
    <x v="9"/>
    <x v="9"/>
    <x v="13"/>
    <x v="53"/>
    <x v="31"/>
    <x v="53"/>
    <x v="51"/>
    <x v="52"/>
    <x v="46"/>
    <x v="1"/>
    <x v="9"/>
  </r>
  <r>
    <x v="2"/>
    <x v="0"/>
    <x v="0"/>
    <x v="2"/>
    <x v="2"/>
    <x v="2"/>
    <x v="14"/>
    <x v="14"/>
    <x v="14"/>
    <x v="14"/>
    <x v="14"/>
    <x v="54"/>
    <x v="50"/>
    <x v="54"/>
    <x v="29"/>
    <x v="53"/>
    <x v="47"/>
    <x v="2"/>
    <x v="2"/>
  </r>
  <r>
    <x v="2"/>
    <x v="0"/>
    <x v="0"/>
    <x v="2"/>
    <x v="2"/>
    <x v="2"/>
    <x v="17"/>
    <x v="17"/>
    <x v="17"/>
    <x v="17"/>
    <x v="15"/>
    <x v="55"/>
    <x v="51"/>
    <x v="55"/>
    <x v="52"/>
    <x v="54"/>
    <x v="48"/>
    <x v="2"/>
    <x v="2"/>
  </r>
  <r>
    <x v="2"/>
    <x v="0"/>
    <x v="0"/>
    <x v="2"/>
    <x v="2"/>
    <x v="2"/>
    <x v="22"/>
    <x v="22"/>
    <x v="22"/>
    <x v="22"/>
    <x v="16"/>
    <x v="56"/>
    <x v="52"/>
    <x v="56"/>
    <x v="53"/>
    <x v="55"/>
    <x v="49"/>
    <x v="2"/>
    <x v="2"/>
  </r>
  <r>
    <x v="2"/>
    <x v="0"/>
    <x v="0"/>
    <x v="2"/>
    <x v="2"/>
    <x v="2"/>
    <x v="16"/>
    <x v="16"/>
    <x v="16"/>
    <x v="16"/>
    <x v="17"/>
    <x v="57"/>
    <x v="53"/>
    <x v="57"/>
    <x v="54"/>
    <x v="56"/>
    <x v="50"/>
    <x v="2"/>
    <x v="2"/>
  </r>
  <r>
    <x v="2"/>
    <x v="0"/>
    <x v="0"/>
    <x v="2"/>
    <x v="2"/>
    <x v="2"/>
    <x v="23"/>
    <x v="23"/>
    <x v="23"/>
    <x v="23"/>
    <x v="18"/>
    <x v="58"/>
    <x v="54"/>
    <x v="58"/>
    <x v="55"/>
    <x v="57"/>
    <x v="51"/>
    <x v="2"/>
    <x v="2"/>
  </r>
  <r>
    <x v="2"/>
    <x v="0"/>
    <x v="0"/>
    <x v="2"/>
    <x v="2"/>
    <x v="2"/>
    <x v="11"/>
    <x v="11"/>
    <x v="11"/>
    <x v="11"/>
    <x v="19"/>
    <x v="59"/>
    <x v="55"/>
    <x v="59"/>
    <x v="56"/>
    <x v="55"/>
    <x v="49"/>
    <x v="2"/>
    <x v="2"/>
  </r>
  <r>
    <x v="3"/>
    <x v="0"/>
    <x v="0"/>
    <x v="2"/>
    <x v="3"/>
    <x v="3"/>
    <x v="0"/>
    <x v="0"/>
    <x v="0"/>
    <x v="0"/>
    <x v="0"/>
    <x v="60"/>
    <x v="56"/>
    <x v="60"/>
    <x v="57"/>
    <x v="58"/>
    <x v="52"/>
    <x v="2"/>
    <x v="2"/>
  </r>
  <r>
    <x v="3"/>
    <x v="0"/>
    <x v="0"/>
    <x v="2"/>
    <x v="3"/>
    <x v="3"/>
    <x v="1"/>
    <x v="1"/>
    <x v="1"/>
    <x v="1"/>
    <x v="1"/>
    <x v="42"/>
    <x v="57"/>
    <x v="61"/>
    <x v="58"/>
    <x v="59"/>
    <x v="10"/>
    <x v="2"/>
    <x v="2"/>
  </r>
  <r>
    <x v="3"/>
    <x v="0"/>
    <x v="0"/>
    <x v="2"/>
    <x v="3"/>
    <x v="3"/>
    <x v="3"/>
    <x v="3"/>
    <x v="3"/>
    <x v="3"/>
    <x v="2"/>
    <x v="61"/>
    <x v="58"/>
    <x v="62"/>
    <x v="22"/>
    <x v="60"/>
    <x v="53"/>
    <x v="2"/>
    <x v="2"/>
  </r>
  <r>
    <x v="3"/>
    <x v="0"/>
    <x v="0"/>
    <x v="2"/>
    <x v="3"/>
    <x v="3"/>
    <x v="2"/>
    <x v="2"/>
    <x v="2"/>
    <x v="2"/>
    <x v="3"/>
    <x v="62"/>
    <x v="59"/>
    <x v="63"/>
    <x v="59"/>
    <x v="61"/>
    <x v="54"/>
    <x v="2"/>
    <x v="2"/>
  </r>
  <r>
    <x v="3"/>
    <x v="0"/>
    <x v="0"/>
    <x v="2"/>
    <x v="3"/>
    <x v="3"/>
    <x v="8"/>
    <x v="8"/>
    <x v="8"/>
    <x v="8"/>
    <x v="4"/>
    <x v="63"/>
    <x v="60"/>
    <x v="64"/>
    <x v="60"/>
    <x v="62"/>
    <x v="55"/>
    <x v="2"/>
    <x v="2"/>
  </r>
  <r>
    <x v="3"/>
    <x v="0"/>
    <x v="0"/>
    <x v="2"/>
    <x v="3"/>
    <x v="3"/>
    <x v="14"/>
    <x v="14"/>
    <x v="14"/>
    <x v="14"/>
    <x v="5"/>
    <x v="64"/>
    <x v="61"/>
    <x v="58"/>
    <x v="61"/>
    <x v="58"/>
    <x v="52"/>
    <x v="2"/>
    <x v="2"/>
  </r>
  <r>
    <x v="3"/>
    <x v="0"/>
    <x v="0"/>
    <x v="2"/>
    <x v="3"/>
    <x v="3"/>
    <x v="4"/>
    <x v="4"/>
    <x v="4"/>
    <x v="4"/>
    <x v="6"/>
    <x v="49"/>
    <x v="44"/>
    <x v="65"/>
    <x v="62"/>
    <x v="57"/>
    <x v="56"/>
    <x v="2"/>
    <x v="2"/>
  </r>
  <r>
    <x v="3"/>
    <x v="0"/>
    <x v="0"/>
    <x v="2"/>
    <x v="3"/>
    <x v="3"/>
    <x v="6"/>
    <x v="6"/>
    <x v="6"/>
    <x v="6"/>
    <x v="7"/>
    <x v="65"/>
    <x v="28"/>
    <x v="30"/>
    <x v="63"/>
    <x v="63"/>
    <x v="57"/>
    <x v="2"/>
    <x v="2"/>
  </r>
  <r>
    <x v="3"/>
    <x v="0"/>
    <x v="0"/>
    <x v="2"/>
    <x v="3"/>
    <x v="3"/>
    <x v="5"/>
    <x v="5"/>
    <x v="5"/>
    <x v="5"/>
    <x v="8"/>
    <x v="51"/>
    <x v="62"/>
    <x v="66"/>
    <x v="48"/>
    <x v="64"/>
    <x v="5"/>
    <x v="2"/>
    <x v="2"/>
  </r>
  <r>
    <x v="3"/>
    <x v="0"/>
    <x v="0"/>
    <x v="2"/>
    <x v="3"/>
    <x v="3"/>
    <x v="7"/>
    <x v="7"/>
    <x v="7"/>
    <x v="7"/>
    <x v="9"/>
    <x v="66"/>
    <x v="63"/>
    <x v="46"/>
    <x v="64"/>
    <x v="63"/>
    <x v="57"/>
    <x v="2"/>
    <x v="2"/>
  </r>
  <r>
    <x v="3"/>
    <x v="0"/>
    <x v="0"/>
    <x v="2"/>
    <x v="3"/>
    <x v="3"/>
    <x v="13"/>
    <x v="13"/>
    <x v="13"/>
    <x v="13"/>
    <x v="10"/>
    <x v="67"/>
    <x v="64"/>
    <x v="47"/>
    <x v="65"/>
    <x v="52"/>
    <x v="58"/>
    <x v="2"/>
    <x v="2"/>
  </r>
  <r>
    <x v="3"/>
    <x v="0"/>
    <x v="0"/>
    <x v="2"/>
    <x v="3"/>
    <x v="3"/>
    <x v="21"/>
    <x v="21"/>
    <x v="21"/>
    <x v="21"/>
    <x v="11"/>
    <x v="68"/>
    <x v="30"/>
    <x v="67"/>
    <x v="66"/>
    <x v="65"/>
    <x v="59"/>
    <x v="2"/>
    <x v="2"/>
  </r>
  <r>
    <x v="3"/>
    <x v="0"/>
    <x v="0"/>
    <x v="2"/>
    <x v="3"/>
    <x v="3"/>
    <x v="9"/>
    <x v="9"/>
    <x v="9"/>
    <x v="9"/>
    <x v="12"/>
    <x v="69"/>
    <x v="9"/>
    <x v="55"/>
    <x v="67"/>
    <x v="66"/>
    <x v="60"/>
    <x v="1"/>
    <x v="10"/>
  </r>
  <r>
    <x v="3"/>
    <x v="0"/>
    <x v="0"/>
    <x v="2"/>
    <x v="3"/>
    <x v="3"/>
    <x v="10"/>
    <x v="10"/>
    <x v="10"/>
    <x v="10"/>
    <x v="13"/>
    <x v="70"/>
    <x v="65"/>
    <x v="68"/>
    <x v="10"/>
    <x v="51"/>
    <x v="3"/>
    <x v="2"/>
    <x v="2"/>
  </r>
  <r>
    <x v="3"/>
    <x v="0"/>
    <x v="0"/>
    <x v="2"/>
    <x v="3"/>
    <x v="3"/>
    <x v="11"/>
    <x v="11"/>
    <x v="11"/>
    <x v="11"/>
    <x v="14"/>
    <x v="71"/>
    <x v="14"/>
    <x v="69"/>
    <x v="68"/>
    <x v="67"/>
    <x v="61"/>
    <x v="2"/>
    <x v="2"/>
  </r>
  <r>
    <x v="3"/>
    <x v="0"/>
    <x v="0"/>
    <x v="2"/>
    <x v="3"/>
    <x v="3"/>
    <x v="24"/>
    <x v="24"/>
    <x v="24"/>
    <x v="24"/>
    <x v="14"/>
    <x v="71"/>
    <x v="14"/>
    <x v="70"/>
    <x v="69"/>
    <x v="68"/>
    <x v="62"/>
    <x v="2"/>
    <x v="2"/>
  </r>
  <r>
    <x v="3"/>
    <x v="0"/>
    <x v="0"/>
    <x v="2"/>
    <x v="3"/>
    <x v="3"/>
    <x v="15"/>
    <x v="15"/>
    <x v="15"/>
    <x v="15"/>
    <x v="16"/>
    <x v="72"/>
    <x v="15"/>
    <x v="59"/>
    <x v="70"/>
    <x v="69"/>
    <x v="17"/>
    <x v="2"/>
    <x v="2"/>
  </r>
  <r>
    <x v="3"/>
    <x v="0"/>
    <x v="0"/>
    <x v="2"/>
    <x v="3"/>
    <x v="3"/>
    <x v="20"/>
    <x v="20"/>
    <x v="20"/>
    <x v="20"/>
    <x v="17"/>
    <x v="57"/>
    <x v="66"/>
    <x v="55"/>
    <x v="67"/>
    <x v="70"/>
    <x v="11"/>
    <x v="2"/>
    <x v="2"/>
  </r>
  <r>
    <x v="3"/>
    <x v="0"/>
    <x v="0"/>
    <x v="2"/>
    <x v="3"/>
    <x v="3"/>
    <x v="25"/>
    <x v="25"/>
    <x v="25"/>
    <x v="25"/>
    <x v="18"/>
    <x v="73"/>
    <x v="67"/>
    <x v="71"/>
    <x v="71"/>
    <x v="71"/>
    <x v="63"/>
    <x v="2"/>
    <x v="2"/>
  </r>
  <r>
    <x v="3"/>
    <x v="0"/>
    <x v="0"/>
    <x v="2"/>
    <x v="3"/>
    <x v="3"/>
    <x v="12"/>
    <x v="12"/>
    <x v="12"/>
    <x v="12"/>
    <x v="19"/>
    <x v="74"/>
    <x v="68"/>
    <x v="72"/>
    <x v="72"/>
    <x v="72"/>
    <x v="64"/>
    <x v="2"/>
    <x v="2"/>
  </r>
  <r>
    <x v="4"/>
    <x v="0"/>
    <x v="0"/>
    <x v="2"/>
    <x v="4"/>
    <x v="4"/>
    <x v="0"/>
    <x v="0"/>
    <x v="0"/>
    <x v="0"/>
    <x v="0"/>
    <x v="75"/>
    <x v="69"/>
    <x v="73"/>
    <x v="73"/>
    <x v="73"/>
    <x v="61"/>
    <x v="2"/>
    <x v="2"/>
  </r>
  <r>
    <x v="4"/>
    <x v="0"/>
    <x v="0"/>
    <x v="2"/>
    <x v="4"/>
    <x v="4"/>
    <x v="18"/>
    <x v="18"/>
    <x v="18"/>
    <x v="18"/>
    <x v="1"/>
    <x v="76"/>
    <x v="70"/>
    <x v="55"/>
    <x v="74"/>
    <x v="74"/>
    <x v="65"/>
    <x v="2"/>
    <x v="2"/>
  </r>
  <r>
    <x v="4"/>
    <x v="0"/>
    <x v="0"/>
    <x v="2"/>
    <x v="4"/>
    <x v="4"/>
    <x v="8"/>
    <x v="8"/>
    <x v="8"/>
    <x v="8"/>
    <x v="2"/>
    <x v="77"/>
    <x v="71"/>
    <x v="74"/>
    <x v="75"/>
    <x v="75"/>
    <x v="66"/>
    <x v="2"/>
    <x v="2"/>
  </r>
  <r>
    <x v="4"/>
    <x v="0"/>
    <x v="0"/>
    <x v="2"/>
    <x v="4"/>
    <x v="4"/>
    <x v="1"/>
    <x v="1"/>
    <x v="1"/>
    <x v="1"/>
    <x v="3"/>
    <x v="78"/>
    <x v="72"/>
    <x v="75"/>
    <x v="76"/>
    <x v="72"/>
    <x v="67"/>
    <x v="2"/>
    <x v="2"/>
  </r>
  <r>
    <x v="4"/>
    <x v="0"/>
    <x v="0"/>
    <x v="2"/>
    <x v="4"/>
    <x v="4"/>
    <x v="26"/>
    <x v="26"/>
    <x v="26"/>
    <x v="26"/>
    <x v="4"/>
    <x v="79"/>
    <x v="73"/>
    <x v="57"/>
    <x v="36"/>
    <x v="76"/>
    <x v="68"/>
    <x v="2"/>
    <x v="2"/>
  </r>
  <r>
    <x v="4"/>
    <x v="0"/>
    <x v="0"/>
    <x v="2"/>
    <x v="4"/>
    <x v="4"/>
    <x v="3"/>
    <x v="3"/>
    <x v="3"/>
    <x v="3"/>
    <x v="5"/>
    <x v="80"/>
    <x v="74"/>
    <x v="76"/>
    <x v="77"/>
    <x v="51"/>
    <x v="21"/>
    <x v="2"/>
    <x v="2"/>
  </r>
  <r>
    <x v="4"/>
    <x v="0"/>
    <x v="0"/>
    <x v="2"/>
    <x v="4"/>
    <x v="4"/>
    <x v="2"/>
    <x v="2"/>
    <x v="2"/>
    <x v="2"/>
    <x v="6"/>
    <x v="81"/>
    <x v="75"/>
    <x v="77"/>
    <x v="78"/>
    <x v="42"/>
    <x v="23"/>
    <x v="2"/>
    <x v="2"/>
  </r>
  <r>
    <x v="4"/>
    <x v="0"/>
    <x v="0"/>
    <x v="2"/>
    <x v="4"/>
    <x v="4"/>
    <x v="5"/>
    <x v="5"/>
    <x v="5"/>
    <x v="5"/>
    <x v="7"/>
    <x v="82"/>
    <x v="76"/>
    <x v="70"/>
    <x v="79"/>
    <x v="77"/>
    <x v="69"/>
    <x v="2"/>
    <x v="2"/>
  </r>
  <r>
    <x v="4"/>
    <x v="0"/>
    <x v="0"/>
    <x v="2"/>
    <x v="4"/>
    <x v="4"/>
    <x v="14"/>
    <x v="14"/>
    <x v="14"/>
    <x v="14"/>
    <x v="8"/>
    <x v="83"/>
    <x v="77"/>
    <x v="78"/>
    <x v="9"/>
    <x v="78"/>
    <x v="70"/>
    <x v="2"/>
    <x v="2"/>
  </r>
  <r>
    <x v="4"/>
    <x v="0"/>
    <x v="0"/>
    <x v="2"/>
    <x v="4"/>
    <x v="4"/>
    <x v="10"/>
    <x v="10"/>
    <x v="10"/>
    <x v="10"/>
    <x v="9"/>
    <x v="70"/>
    <x v="78"/>
    <x v="79"/>
    <x v="80"/>
    <x v="79"/>
    <x v="48"/>
    <x v="2"/>
    <x v="2"/>
  </r>
  <r>
    <x v="4"/>
    <x v="0"/>
    <x v="0"/>
    <x v="2"/>
    <x v="4"/>
    <x v="4"/>
    <x v="11"/>
    <x v="11"/>
    <x v="11"/>
    <x v="11"/>
    <x v="9"/>
    <x v="70"/>
    <x v="78"/>
    <x v="80"/>
    <x v="81"/>
    <x v="80"/>
    <x v="71"/>
    <x v="2"/>
    <x v="2"/>
  </r>
  <r>
    <x v="4"/>
    <x v="0"/>
    <x v="0"/>
    <x v="2"/>
    <x v="4"/>
    <x v="4"/>
    <x v="7"/>
    <x v="7"/>
    <x v="7"/>
    <x v="7"/>
    <x v="9"/>
    <x v="70"/>
    <x v="78"/>
    <x v="81"/>
    <x v="82"/>
    <x v="77"/>
    <x v="69"/>
    <x v="2"/>
    <x v="2"/>
  </r>
  <r>
    <x v="4"/>
    <x v="0"/>
    <x v="0"/>
    <x v="2"/>
    <x v="4"/>
    <x v="4"/>
    <x v="25"/>
    <x v="25"/>
    <x v="25"/>
    <x v="25"/>
    <x v="12"/>
    <x v="84"/>
    <x v="79"/>
    <x v="70"/>
    <x v="79"/>
    <x v="81"/>
    <x v="72"/>
    <x v="2"/>
    <x v="2"/>
  </r>
  <r>
    <x v="4"/>
    <x v="0"/>
    <x v="0"/>
    <x v="2"/>
    <x v="4"/>
    <x v="4"/>
    <x v="4"/>
    <x v="4"/>
    <x v="4"/>
    <x v="4"/>
    <x v="12"/>
    <x v="84"/>
    <x v="79"/>
    <x v="82"/>
    <x v="83"/>
    <x v="82"/>
    <x v="73"/>
    <x v="2"/>
    <x v="2"/>
  </r>
  <r>
    <x v="4"/>
    <x v="0"/>
    <x v="0"/>
    <x v="2"/>
    <x v="4"/>
    <x v="4"/>
    <x v="6"/>
    <x v="6"/>
    <x v="6"/>
    <x v="6"/>
    <x v="14"/>
    <x v="85"/>
    <x v="32"/>
    <x v="83"/>
    <x v="4"/>
    <x v="81"/>
    <x v="72"/>
    <x v="2"/>
    <x v="2"/>
  </r>
  <r>
    <x v="4"/>
    <x v="0"/>
    <x v="0"/>
    <x v="2"/>
    <x v="4"/>
    <x v="4"/>
    <x v="9"/>
    <x v="9"/>
    <x v="9"/>
    <x v="9"/>
    <x v="15"/>
    <x v="86"/>
    <x v="34"/>
    <x v="53"/>
    <x v="84"/>
    <x v="55"/>
    <x v="74"/>
    <x v="2"/>
    <x v="2"/>
  </r>
  <r>
    <x v="4"/>
    <x v="0"/>
    <x v="0"/>
    <x v="2"/>
    <x v="4"/>
    <x v="4"/>
    <x v="21"/>
    <x v="21"/>
    <x v="21"/>
    <x v="21"/>
    <x v="15"/>
    <x v="86"/>
    <x v="34"/>
    <x v="84"/>
    <x v="85"/>
    <x v="59"/>
    <x v="75"/>
    <x v="2"/>
    <x v="2"/>
  </r>
  <r>
    <x v="4"/>
    <x v="0"/>
    <x v="0"/>
    <x v="2"/>
    <x v="4"/>
    <x v="4"/>
    <x v="27"/>
    <x v="27"/>
    <x v="27"/>
    <x v="27"/>
    <x v="17"/>
    <x v="87"/>
    <x v="36"/>
    <x v="59"/>
    <x v="86"/>
    <x v="83"/>
    <x v="76"/>
    <x v="2"/>
    <x v="2"/>
  </r>
  <r>
    <x v="4"/>
    <x v="0"/>
    <x v="0"/>
    <x v="2"/>
    <x v="4"/>
    <x v="4"/>
    <x v="28"/>
    <x v="28"/>
    <x v="28"/>
    <x v="28"/>
    <x v="18"/>
    <x v="88"/>
    <x v="17"/>
    <x v="85"/>
    <x v="87"/>
    <x v="84"/>
    <x v="55"/>
    <x v="2"/>
    <x v="2"/>
  </r>
  <r>
    <x v="4"/>
    <x v="0"/>
    <x v="0"/>
    <x v="2"/>
    <x v="4"/>
    <x v="4"/>
    <x v="22"/>
    <x v="22"/>
    <x v="22"/>
    <x v="22"/>
    <x v="18"/>
    <x v="88"/>
    <x v="17"/>
    <x v="47"/>
    <x v="16"/>
    <x v="43"/>
    <x v="77"/>
    <x v="2"/>
    <x v="2"/>
  </r>
  <r>
    <x v="4"/>
    <x v="0"/>
    <x v="0"/>
    <x v="2"/>
    <x v="4"/>
    <x v="4"/>
    <x v="29"/>
    <x v="29"/>
    <x v="29"/>
    <x v="29"/>
    <x v="18"/>
    <x v="88"/>
    <x v="17"/>
    <x v="53"/>
    <x v="84"/>
    <x v="57"/>
    <x v="78"/>
    <x v="1"/>
    <x v="11"/>
  </r>
  <r>
    <x v="5"/>
    <x v="0"/>
    <x v="0"/>
    <x v="2"/>
    <x v="5"/>
    <x v="5"/>
    <x v="7"/>
    <x v="7"/>
    <x v="7"/>
    <x v="7"/>
    <x v="0"/>
    <x v="89"/>
    <x v="80"/>
    <x v="86"/>
    <x v="88"/>
    <x v="85"/>
    <x v="79"/>
    <x v="2"/>
    <x v="2"/>
  </r>
  <r>
    <x v="5"/>
    <x v="0"/>
    <x v="0"/>
    <x v="2"/>
    <x v="5"/>
    <x v="5"/>
    <x v="3"/>
    <x v="3"/>
    <x v="3"/>
    <x v="3"/>
    <x v="1"/>
    <x v="90"/>
    <x v="81"/>
    <x v="87"/>
    <x v="89"/>
    <x v="86"/>
    <x v="80"/>
    <x v="2"/>
    <x v="2"/>
  </r>
  <r>
    <x v="5"/>
    <x v="0"/>
    <x v="0"/>
    <x v="2"/>
    <x v="5"/>
    <x v="5"/>
    <x v="2"/>
    <x v="2"/>
    <x v="2"/>
    <x v="2"/>
    <x v="2"/>
    <x v="91"/>
    <x v="82"/>
    <x v="88"/>
    <x v="90"/>
    <x v="87"/>
    <x v="81"/>
    <x v="2"/>
    <x v="2"/>
  </r>
  <r>
    <x v="5"/>
    <x v="0"/>
    <x v="0"/>
    <x v="2"/>
    <x v="5"/>
    <x v="5"/>
    <x v="0"/>
    <x v="0"/>
    <x v="0"/>
    <x v="0"/>
    <x v="3"/>
    <x v="92"/>
    <x v="83"/>
    <x v="89"/>
    <x v="91"/>
    <x v="88"/>
    <x v="82"/>
    <x v="2"/>
    <x v="2"/>
  </r>
  <r>
    <x v="5"/>
    <x v="0"/>
    <x v="0"/>
    <x v="2"/>
    <x v="5"/>
    <x v="5"/>
    <x v="8"/>
    <x v="8"/>
    <x v="8"/>
    <x v="8"/>
    <x v="4"/>
    <x v="93"/>
    <x v="84"/>
    <x v="90"/>
    <x v="92"/>
    <x v="89"/>
    <x v="83"/>
    <x v="2"/>
    <x v="2"/>
  </r>
  <r>
    <x v="5"/>
    <x v="0"/>
    <x v="0"/>
    <x v="2"/>
    <x v="5"/>
    <x v="5"/>
    <x v="30"/>
    <x v="30"/>
    <x v="30"/>
    <x v="30"/>
    <x v="5"/>
    <x v="94"/>
    <x v="85"/>
    <x v="91"/>
    <x v="93"/>
    <x v="71"/>
    <x v="84"/>
    <x v="2"/>
    <x v="2"/>
  </r>
  <r>
    <x v="5"/>
    <x v="0"/>
    <x v="0"/>
    <x v="2"/>
    <x v="5"/>
    <x v="5"/>
    <x v="11"/>
    <x v="11"/>
    <x v="11"/>
    <x v="11"/>
    <x v="6"/>
    <x v="95"/>
    <x v="74"/>
    <x v="68"/>
    <x v="81"/>
    <x v="90"/>
    <x v="85"/>
    <x v="1"/>
    <x v="12"/>
  </r>
  <r>
    <x v="5"/>
    <x v="0"/>
    <x v="0"/>
    <x v="2"/>
    <x v="5"/>
    <x v="5"/>
    <x v="1"/>
    <x v="1"/>
    <x v="1"/>
    <x v="1"/>
    <x v="7"/>
    <x v="96"/>
    <x v="86"/>
    <x v="92"/>
    <x v="94"/>
    <x v="91"/>
    <x v="4"/>
    <x v="2"/>
    <x v="2"/>
  </r>
  <r>
    <x v="5"/>
    <x v="0"/>
    <x v="0"/>
    <x v="2"/>
    <x v="5"/>
    <x v="5"/>
    <x v="21"/>
    <x v="21"/>
    <x v="21"/>
    <x v="21"/>
    <x v="8"/>
    <x v="97"/>
    <x v="6"/>
    <x v="93"/>
    <x v="95"/>
    <x v="92"/>
    <x v="86"/>
    <x v="2"/>
    <x v="2"/>
  </r>
  <r>
    <x v="5"/>
    <x v="0"/>
    <x v="0"/>
    <x v="2"/>
    <x v="5"/>
    <x v="5"/>
    <x v="14"/>
    <x v="14"/>
    <x v="14"/>
    <x v="14"/>
    <x v="9"/>
    <x v="98"/>
    <x v="87"/>
    <x v="51"/>
    <x v="96"/>
    <x v="93"/>
    <x v="87"/>
    <x v="2"/>
    <x v="2"/>
  </r>
  <r>
    <x v="5"/>
    <x v="0"/>
    <x v="0"/>
    <x v="2"/>
    <x v="5"/>
    <x v="5"/>
    <x v="5"/>
    <x v="5"/>
    <x v="5"/>
    <x v="5"/>
    <x v="10"/>
    <x v="99"/>
    <x v="28"/>
    <x v="38"/>
    <x v="97"/>
    <x v="84"/>
    <x v="88"/>
    <x v="2"/>
    <x v="2"/>
  </r>
  <r>
    <x v="5"/>
    <x v="0"/>
    <x v="0"/>
    <x v="2"/>
    <x v="5"/>
    <x v="5"/>
    <x v="25"/>
    <x v="25"/>
    <x v="25"/>
    <x v="25"/>
    <x v="11"/>
    <x v="100"/>
    <x v="79"/>
    <x v="61"/>
    <x v="98"/>
    <x v="68"/>
    <x v="63"/>
    <x v="2"/>
    <x v="2"/>
  </r>
  <r>
    <x v="5"/>
    <x v="0"/>
    <x v="0"/>
    <x v="2"/>
    <x v="5"/>
    <x v="5"/>
    <x v="18"/>
    <x v="18"/>
    <x v="18"/>
    <x v="18"/>
    <x v="12"/>
    <x v="101"/>
    <x v="88"/>
    <x v="74"/>
    <x v="99"/>
    <x v="94"/>
    <x v="89"/>
    <x v="2"/>
    <x v="2"/>
  </r>
  <r>
    <x v="5"/>
    <x v="0"/>
    <x v="0"/>
    <x v="2"/>
    <x v="5"/>
    <x v="5"/>
    <x v="9"/>
    <x v="9"/>
    <x v="9"/>
    <x v="9"/>
    <x v="13"/>
    <x v="102"/>
    <x v="89"/>
    <x v="57"/>
    <x v="84"/>
    <x v="95"/>
    <x v="90"/>
    <x v="1"/>
    <x v="12"/>
  </r>
  <r>
    <x v="5"/>
    <x v="0"/>
    <x v="0"/>
    <x v="2"/>
    <x v="5"/>
    <x v="5"/>
    <x v="26"/>
    <x v="26"/>
    <x v="26"/>
    <x v="26"/>
    <x v="14"/>
    <x v="77"/>
    <x v="32"/>
    <x v="94"/>
    <x v="100"/>
    <x v="52"/>
    <x v="91"/>
    <x v="2"/>
    <x v="2"/>
  </r>
  <r>
    <x v="5"/>
    <x v="0"/>
    <x v="0"/>
    <x v="2"/>
    <x v="5"/>
    <x v="5"/>
    <x v="31"/>
    <x v="31"/>
    <x v="31"/>
    <x v="31"/>
    <x v="15"/>
    <x v="103"/>
    <x v="90"/>
    <x v="95"/>
    <x v="101"/>
    <x v="51"/>
    <x v="92"/>
    <x v="2"/>
    <x v="2"/>
  </r>
  <r>
    <x v="5"/>
    <x v="0"/>
    <x v="0"/>
    <x v="2"/>
    <x v="5"/>
    <x v="5"/>
    <x v="10"/>
    <x v="10"/>
    <x v="10"/>
    <x v="10"/>
    <x v="16"/>
    <x v="78"/>
    <x v="91"/>
    <x v="82"/>
    <x v="102"/>
    <x v="96"/>
    <x v="93"/>
    <x v="2"/>
    <x v="2"/>
  </r>
  <r>
    <x v="5"/>
    <x v="0"/>
    <x v="0"/>
    <x v="2"/>
    <x v="5"/>
    <x v="5"/>
    <x v="32"/>
    <x v="32"/>
    <x v="32"/>
    <x v="32"/>
    <x v="17"/>
    <x v="66"/>
    <x v="92"/>
    <x v="96"/>
    <x v="67"/>
    <x v="50"/>
    <x v="48"/>
    <x v="2"/>
    <x v="2"/>
  </r>
  <r>
    <x v="5"/>
    <x v="0"/>
    <x v="0"/>
    <x v="2"/>
    <x v="5"/>
    <x v="5"/>
    <x v="29"/>
    <x v="29"/>
    <x v="29"/>
    <x v="29"/>
    <x v="18"/>
    <x v="104"/>
    <x v="17"/>
    <x v="54"/>
    <x v="28"/>
    <x v="97"/>
    <x v="94"/>
    <x v="7"/>
    <x v="13"/>
  </r>
  <r>
    <x v="5"/>
    <x v="0"/>
    <x v="0"/>
    <x v="2"/>
    <x v="5"/>
    <x v="5"/>
    <x v="4"/>
    <x v="4"/>
    <x v="4"/>
    <x v="4"/>
    <x v="19"/>
    <x v="80"/>
    <x v="18"/>
    <x v="97"/>
    <x v="12"/>
    <x v="98"/>
    <x v="95"/>
    <x v="2"/>
    <x v="2"/>
  </r>
  <r>
    <x v="6"/>
    <x v="0"/>
    <x v="0"/>
    <x v="2"/>
    <x v="6"/>
    <x v="6"/>
    <x v="0"/>
    <x v="0"/>
    <x v="0"/>
    <x v="0"/>
    <x v="0"/>
    <x v="105"/>
    <x v="93"/>
    <x v="98"/>
    <x v="103"/>
    <x v="65"/>
    <x v="96"/>
    <x v="2"/>
    <x v="14"/>
  </r>
  <r>
    <x v="6"/>
    <x v="0"/>
    <x v="0"/>
    <x v="2"/>
    <x v="6"/>
    <x v="6"/>
    <x v="1"/>
    <x v="1"/>
    <x v="1"/>
    <x v="1"/>
    <x v="1"/>
    <x v="106"/>
    <x v="94"/>
    <x v="99"/>
    <x v="104"/>
    <x v="42"/>
    <x v="76"/>
    <x v="2"/>
    <x v="14"/>
  </r>
  <r>
    <x v="6"/>
    <x v="0"/>
    <x v="0"/>
    <x v="2"/>
    <x v="6"/>
    <x v="6"/>
    <x v="3"/>
    <x v="3"/>
    <x v="3"/>
    <x v="3"/>
    <x v="2"/>
    <x v="45"/>
    <x v="95"/>
    <x v="100"/>
    <x v="105"/>
    <x v="98"/>
    <x v="94"/>
    <x v="2"/>
    <x v="14"/>
  </r>
  <r>
    <x v="6"/>
    <x v="0"/>
    <x v="0"/>
    <x v="2"/>
    <x v="6"/>
    <x v="6"/>
    <x v="2"/>
    <x v="2"/>
    <x v="2"/>
    <x v="2"/>
    <x v="3"/>
    <x v="107"/>
    <x v="96"/>
    <x v="101"/>
    <x v="106"/>
    <x v="44"/>
    <x v="97"/>
    <x v="2"/>
    <x v="14"/>
  </r>
  <r>
    <x v="6"/>
    <x v="0"/>
    <x v="0"/>
    <x v="2"/>
    <x v="6"/>
    <x v="6"/>
    <x v="7"/>
    <x v="7"/>
    <x v="7"/>
    <x v="7"/>
    <x v="4"/>
    <x v="77"/>
    <x v="84"/>
    <x v="102"/>
    <x v="107"/>
    <x v="44"/>
    <x v="97"/>
    <x v="2"/>
    <x v="14"/>
  </r>
  <r>
    <x v="6"/>
    <x v="0"/>
    <x v="0"/>
    <x v="2"/>
    <x v="6"/>
    <x v="6"/>
    <x v="8"/>
    <x v="8"/>
    <x v="8"/>
    <x v="8"/>
    <x v="5"/>
    <x v="108"/>
    <x v="97"/>
    <x v="103"/>
    <x v="108"/>
    <x v="99"/>
    <x v="15"/>
    <x v="2"/>
    <x v="14"/>
  </r>
  <r>
    <x v="6"/>
    <x v="0"/>
    <x v="0"/>
    <x v="2"/>
    <x v="6"/>
    <x v="6"/>
    <x v="6"/>
    <x v="6"/>
    <x v="6"/>
    <x v="6"/>
    <x v="5"/>
    <x v="108"/>
    <x v="97"/>
    <x v="100"/>
    <x v="105"/>
    <x v="100"/>
    <x v="98"/>
    <x v="2"/>
    <x v="14"/>
  </r>
  <r>
    <x v="6"/>
    <x v="0"/>
    <x v="0"/>
    <x v="2"/>
    <x v="6"/>
    <x v="6"/>
    <x v="10"/>
    <x v="10"/>
    <x v="10"/>
    <x v="10"/>
    <x v="7"/>
    <x v="79"/>
    <x v="86"/>
    <x v="29"/>
    <x v="109"/>
    <x v="46"/>
    <x v="99"/>
    <x v="2"/>
    <x v="14"/>
  </r>
  <r>
    <x v="6"/>
    <x v="0"/>
    <x v="0"/>
    <x v="2"/>
    <x v="6"/>
    <x v="6"/>
    <x v="5"/>
    <x v="5"/>
    <x v="5"/>
    <x v="5"/>
    <x v="8"/>
    <x v="69"/>
    <x v="98"/>
    <x v="64"/>
    <x v="110"/>
    <x v="101"/>
    <x v="100"/>
    <x v="2"/>
    <x v="14"/>
  </r>
  <r>
    <x v="6"/>
    <x v="0"/>
    <x v="0"/>
    <x v="2"/>
    <x v="6"/>
    <x v="6"/>
    <x v="14"/>
    <x v="14"/>
    <x v="14"/>
    <x v="14"/>
    <x v="9"/>
    <x v="109"/>
    <x v="99"/>
    <x v="55"/>
    <x v="111"/>
    <x v="80"/>
    <x v="101"/>
    <x v="2"/>
    <x v="14"/>
  </r>
  <r>
    <x v="6"/>
    <x v="0"/>
    <x v="0"/>
    <x v="2"/>
    <x v="6"/>
    <x v="6"/>
    <x v="33"/>
    <x v="33"/>
    <x v="33"/>
    <x v="33"/>
    <x v="10"/>
    <x v="72"/>
    <x v="88"/>
    <x v="54"/>
    <x v="16"/>
    <x v="80"/>
    <x v="101"/>
    <x v="2"/>
    <x v="14"/>
  </r>
  <r>
    <x v="6"/>
    <x v="0"/>
    <x v="0"/>
    <x v="2"/>
    <x v="6"/>
    <x v="6"/>
    <x v="12"/>
    <x v="12"/>
    <x v="12"/>
    <x v="12"/>
    <x v="11"/>
    <x v="57"/>
    <x v="9"/>
    <x v="93"/>
    <x v="112"/>
    <x v="102"/>
    <x v="51"/>
    <x v="2"/>
    <x v="14"/>
  </r>
  <r>
    <x v="6"/>
    <x v="0"/>
    <x v="0"/>
    <x v="2"/>
    <x v="6"/>
    <x v="6"/>
    <x v="13"/>
    <x v="13"/>
    <x v="13"/>
    <x v="13"/>
    <x v="12"/>
    <x v="110"/>
    <x v="100"/>
    <x v="53"/>
    <x v="113"/>
    <x v="103"/>
    <x v="102"/>
    <x v="2"/>
    <x v="14"/>
  </r>
  <r>
    <x v="6"/>
    <x v="0"/>
    <x v="0"/>
    <x v="2"/>
    <x v="6"/>
    <x v="6"/>
    <x v="4"/>
    <x v="4"/>
    <x v="4"/>
    <x v="4"/>
    <x v="12"/>
    <x v="110"/>
    <x v="100"/>
    <x v="83"/>
    <x v="114"/>
    <x v="63"/>
    <x v="103"/>
    <x v="2"/>
    <x v="14"/>
  </r>
  <r>
    <x v="6"/>
    <x v="0"/>
    <x v="0"/>
    <x v="2"/>
    <x v="6"/>
    <x v="6"/>
    <x v="34"/>
    <x v="34"/>
    <x v="34"/>
    <x v="34"/>
    <x v="14"/>
    <x v="85"/>
    <x v="101"/>
    <x v="82"/>
    <x v="115"/>
    <x v="63"/>
    <x v="103"/>
    <x v="2"/>
    <x v="14"/>
  </r>
  <r>
    <x v="6"/>
    <x v="0"/>
    <x v="0"/>
    <x v="2"/>
    <x v="6"/>
    <x v="6"/>
    <x v="9"/>
    <x v="9"/>
    <x v="9"/>
    <x v="9"/>
    <x v="15"/>
    <x v="111"/>
    <x v="102"/>
    <x v="47"/>
    <x v="54"/>
    <x v="104"/>
    <x v="104"/>
    <x v="2"/>
    <x v="14"/>
  </r>
  <r>
    <x v="6"/>
    <x v="0"/>
    <x v="0"/>
    <x v="2"/>
    <x v="6"/>
    <x v="6"/>
    <x v="15"/>
    <x v="15"/>
    <x v="15"/>
    <x v="15"/>
    <x v="16"/>
    <x v="112"/>
    <x v="91"/>
    <x v="53"/>
    <x v="113"/>
    <x v="62"/>
    <x v="13"/>
    <x v="2"/>
    <x v="14"/>
  </r>
  <r>
    <x v="6"/>
    <x v="0"/>
    <x v="0"/>
    <x v="2"/>
    <x v="6"/>
    <x v="6"/>
    <x v="17"/>
    <x v="17"/>
    <x v="17"/>
    <x v="17"/>
    <x v="17"/>
    <x v="113"/>
    <x v="33"/>
    <x v="47"/>
    <x v="54"/>
    <x v="55"/>
    <x v="105"/>
    <x v="2"/>
    <x v="14"/>
  </r>
  <r>
    <x v="6"/>
    <x v="0"/>
    <x v="0"/>
    <x v="2"/>
    <x v="6"/>
    <x v="6"/>
    <x v="20"/>
    <x v="20"/>
    <x v="20"/>
    <x v="20"/>
    <x v="18"/>
    <x v="114"/>
    <x v="50"/>
    <x v="55"/>
    <x v="111"/>
    <x v="99"/>
    <x v="15"/>
    <x v="2"/>
    <x v="14"/>
  </r>
  <r>
    <x v="6"/>
    <x v="0"/>
    <x v="0"/>
    <x v="2"/>
    <x v="6"/>
    <x v="6"/>
    <x v="35"/>
    <x v="35"/>
    <x v="35"/>
    <x v="35"/>
    <x v="19"/>
    <x v="86"/>
    <x v="92"/>
    <x v="84"/>
    <x v="116"/>
    <x v="59"/>
    <x v="106"/>
    <x v="2"/>
    <x v="14"/>
  </r>
  <r>
    <x v="7"/>
    <x v="0"/>
    <x v="0"/>
    <x v="2"/>
    <x v="7"/>
    <x v="7"/>
    <x v="0"/>
    <x v="0"/>
    <x v="0"/>
    <x v="0"/>
    <x v="0"/>
    <x v="115"/>
    <x v="103"/>
    <x v="104"/>
    <x v="117"/>
    <x v="85"/>
    <x v="107"/>
    <x v="2"/>
    <x v="14"/>
  </r>
  <r>
    <x v="7"/>
    <x v="0"/>
    <x v="0"/>
    <x v="2"/>
    <x v="7"/>
    <x v="7"/>
    <x v="1"/>
    <x v="1"/>
    <x v="1"/>
    <x v="1"/>
    <x v="1"/>
    <x v="116"/>
    <x v="104"/>
    <x v="105"/>
    <x v="118"/>
    <x v="105"/>
    <x v="51"/>
    <x v="2"/>
    <x v="14"/>
  </r>
  <r>
    <x v="7"/>
    <x v="0"/>
    <x v="0"/>
    <x v="2"/>
    <x v="7"/>
    <x v="7"/>
    <x v="2"/>
    <x v="2"/>
    <x v="2"/>
    <x v="2"/>
    <x v="2"/>
    <x v="67"/>
    <x v="40"/>
    <x v="106"/>
    <x v="119"/>
    <x v="106"/>
    <x v="108"/>
    <x v="2"/>
    <x v="14"/>
  </r>
  <r>
    <x v="7"/>
    <x v="0"/>
    <x v="0"/>
    <x v="2"/>
    <x v="7"/>
    <x v="7"/>
    <x v="6"/>
    <x v="6"/>
    <x v="6"/>
    <x v="6"/>
    <x v="3"/>
    <x v="117"/>
    <x v="105"/>
    <x v="107"/>
    <x v="120"/>
    <x v="71"/>
    <x v="62"/>
    <x v="2"/>
    <x v="14"/>
  </r>
  <r>
    <x v="7"/>
    <x v="0"/>
    <x v="0"/>
    <x v="2"/>
    <x v="7"/>
    <x v="7"/>
    <x v="3"/>
    <x v="3"/>
    <x v="3"/>
    <x v="3"/>
    <x v="4"/>
    <x v="118"/>
    <x v="106"/>
    <x v="64"/>
    <x v="121"/>
    <x v="105"/>
    <x v="51"/>
    <x v="2"/>
    <x v="14"/>
  </r>
  <r>
    <x v="7"/>
    <x v="0"/>
    <x v="0"/>
    <x v="2"/>
    <x v="7"/>
    <x v="7"/>
    <x v="10"/>
    <x v="10"/>
    <x v="10"/>
    <x v="10"/>
    <x v="5"/>
    <x v="81"/>
    <x v="107"/>
    <x v="82"/>
    <x v="122"/>
    <x v="83"/>
    <x v="109"/>
    <x v="2"/>
    <x v="14"/>
  </r>
  <r>
    <x v="7"/>
    <x v="0"/>
    <x v="0"/>
    <x v="2"/>
    <x v="7"/>
    <x v="7"/>
    <x v="5"/>
    <x v="5"/>
    <x v="5"/>
    <x v="5"/>
    <x v="6"/>
    <x v="82"/>
    <x v="108"/>
    <x v="103"/>
    <x v="123"/>
    <x v="107"/>
    <x v="103"/>
    <x v="2"/>
    <x v="14"/>
  </r>
  <r>
    <x v="7"/>
    <x v="0"/>
    <x v="0"/>
    <x v="2"/>
    <x v="7"/>
    <x v="7"/>
    <x v="7"/>
    <x v="7"/>
    <x v="7"/>
    <x v="7"/>
    <x v="7"/>
    <x v="119"/>
    <x v="109"/>
    <x v="49"/>
    <x v="7"/>
    <x v="71"/>
    <x v="62"/>
    <x v="2"/>
    <x v="14"/>
  </r>
  <r>
    <x v="7"/>
    <x v="0"/>
    <x v="0"/>
    <x v="2"/>
    <x v="7"/>
    <x v="7"/>
    <x v="13"/>
    <x v="13"/>
    <x v="13"/>
    <x v="13"/>
    <x v="8"/>
    <x v="120"/>
    <x v="110"/>
    <x v="53"/>
    <x v="124"/>
    <x v="54"/>
    <x v="110"/>
    <x v="2"/>
    <x v="14"/>
  </r>
  <r>
    <x v="7"/>
    <x v="0"/>
    <x v="0"/>
    <x v="2"/>
    <x v="7"/>
    <x v="7"/>
    <x v="8"/>
    <x v="8"/>
    <x v="8"/>
    <x v="8"/>
    <x v="9"/>
    <x v="121"/>
    <x v="111"/>
    <x v="93"/>
    <x v="125"/>
    <x v="48"/>
    <x v="111"/>
    <x v="2"/>
    <x v="14"/>
  </r>
  <r>
    <x v="7"/>
    <x v="0"/>
    <x v="0"/>
    <x v="2"/>
    <x v="7"/>
    <x v="7"/>
    <x v="14"/>
    <x v="14"/>
    <x v="14"/>
    <x v="14"/>
    <x v="10"/>
    <x v="110"/>
    <x v="112"/>
    <x v="47"/>
    <x v="126"/>
    <x v="56"/>
    <x v="85"/>
    <x v="2"/>
    <x v="14"/>
  </r>
  <r>
    <x v="7"/>
    <x v="0"/>
    <x v="0"/>
    <x v="2"/>
    <x v="7"/>
    <x v="7"/>
    <x v="4"/>
    <x v="4"/>
    <x v="4"/>
    <x v="4"/>
    <x v="11"/>
    <x v="73"/>
    <x v="113"/>
    <x v="68"/>
    <x v="127"/>
    <x v="108"/>
    <x v="112"/>
    <x v="2"/>
    <x v="14"/>
  </r>
  <r>
    <x v="7"/>
    <x v="0"/>
    <x v="0"/>
    <x v="2"/>
    <x v="7"/>
    <x v="7"/>
    <x v="12"/>
    <x v="12"/>
    <x v="12"/>
    <x v="12"/>
    <x v="12"/>
    <x v="59"/>
    <x v="114"/>
    <x v="93"/>
    <x v="125"/>
    <x v="109"/>
    <x v="113"/>
    <x v="2"/>
    <x v="14"/>
  </r>
  <r>
    <x v="7"/>
    <x v="0"/>
    <x v="0"/>
    <x v="2"/>
    <x v="7"/>
    <x v="7"/>
    <x v="15"/>
    <x v="15"/>
    <x v="15"/>
    <x v="15"/>
    <x v="13"/>
    <x v="85"/>
    <x v="115"/>
    <x v="59"/>
    <x v="128"/>
    <x v="73"/>
    <x v="114"/>
    <x v="2"/>
    <x v="14"/>
  </r>
  <r>
    <x v="7"/>
    <x v="0"/>
    <x v="0"/>
    <x v="2"/>
    <x v="7"/>
    <x v="7"/>
    <x v="17"/>
    <x v="17"/>
    <x v="17"/>
    <x v="17"/>
    <x v="14"/>
    <x v="122"/>
    <x v="116"/>
    <x v="55"/>
    <x v="129"/>
    <x v="59"/>
    <x v="115"/>
    <x v="2"/>
    <x v="14"/>
  </r>
  <r>
    <x v="7"/>
    <x v="0"/>
    <x v="0"/>
    <x v="2"/>
    <x v="7"/>
    <x v="7"/>
    <x v="36"/>
    <x v="36"/>
    <x v="36"/>
    <x v="36"/>
    <x v="15"/>
    <x v="123"/>
    <x v="90"/>
    <x v="84"/>
    <x v="55"/>
    <x v="51"/>
    <x v="116"/>
    <x v="2"/>
    <x v="14"/>
  </r>
  <r>
    <x v="7"/>
    <x v="0"/>
    <x v="0"/>
    <x v="2"/>
    <x v="7"/>
    <x v="7"/>
    <x v="20"/>
    <x v="20"/>
    <x v="20"/>
    <x v="20"/>
    <x v="15"/>
    <x v="123"/>
    <x v="90"/>
    <x v="53"/>
    <x v="124"/>
    <x v="57"/>
    <x v="117"/>
    <x v="2"/>
    <x v="14"/>
  </r>
  <r>
    <x v="7"/>
    <x v="0"/>
    <x v="0"/>
    <x v="2"/>
    <x v="7"/>
    <x v="7"/>
    <x v="24"/>
    <x v="24"/>
    <x v="24"/>
    <x v="24"/>
    <x v="15"/>
    <x v="123"/>
    <x v="90"/>
    <x v="74"/>
    <x v="130"/>
    <x v="45"/>
    <x v="118"/>
    <x v="2"/>
    <x v="14"/>
  </r>
  <r>
    <x v="7"/>
    <x v="0"/>
    <x v="0"/>
    <x v="2"/>
    <x v="7"/>
    <x v="7"/>
    <x v="19"/>
    <x v="19"/>
    <x v="19"/>
    <x v="19"/>
    <x v="18"/>
    <x v="124"/>
    <x v="50"/>
    <x v="108"/>
    <x v="131"/>
    <x v="110"/>
    <x v="19"/>
    <x v="2"/>
    <x v="14"/>
  </r>
  <r>
    <x v="7"/>
    <x v="0"/>
    <x v="0"/>
    <x v="2"/>
    <x v="7"/>
    <x v="7"/>
    <x v="22"/>
    <x v="22"/>
    <x v="22"/>
    <x v="22"/>
    <x v="19"/>
    <x v="125"/>
    <x v="17"/>
    <x v="56"/>
    <x v="132"/>
    <x v="64"/>
    <x v="119"/>
    <x v="2"/>
    <x v="14"/>
  </r>
  <r>
    <x v="7"/>
    <x v="0"/>
    <x v="0"/>
    <x v="2"/>
    <x v="7"/>
    <x v="7"/>
    <x v="37"/>
    <x v="37"/>
    <x v="37"/>
    <x v="37"/>
    <x v="19"/>
    <x v="125"/>
    <x v="17"/>
    <x v="79"/>
    <x v="133"/>
    <x v="111"/>
    <x v="120"/>
    <x v="2"/>
    <x v="14"/>
  </r>
  <r>
    <x v="8"/>
    <x v="0"/>
    <x v="0"/>
    <x v="2"/>
    <x v="8"/>
    <x v="8"/>
    <x v="0"/>
    <x v="0"/>
    <x v="0"/>
    <x v="0"/>
    <x v="0"/>
    <x v="126"/>
    <x v="117"/>
    <x v="109"/>
    <x v="134"/>
    <x v="91"/>
    <x v="110"/>
    <x v="2"/>
    <x v="2"/>
  </r>
  <r>
    <x v="8"/>
    <x v="0"/>
    <x v="0"/>
    <x v="2"/>
    <x v="8"/>
    <x v="8"/>
    <x v="1"/>
    <x v="1"/>
    <x v="1"/>
    <x v="1"/>
    <x v="1"/>
    <x v="127"/>
    <x v="118"/>
    <x v="46"/>
    <x v="135"/>
    <x v="112"/>
    <x v="121"/>
    <x v="2"/>
    <x v="2"/>
  </r>
  <r>
    <x v="8"/>
    <x v="0"/>
    <x v="0"/>
    <x v="2"/>
    <x v="8"/>
    <x v="8"/>
    <x v="2"/>
    <x v="2"/>
    <x v="2"/>
    <x v="2"/>
    <x v="2"/>
    <x v="79"/>
    <x v="119"/>
    <x v="110"/>
    <x v="136"/>
    <x v="113"/>
    <x v="122"/>
    <x v="2"/>
    <x v="2"/>
  </r>
  <r>
    <x v="8"/>
    <x v="0"/>
    <x v="0"/>
    <x v="2"/>
    <x v="8"/>
    <x v="8"/>
    <x v="9"/>
    <x v="9"/>
    <x v="9"/>
    <x v="9"/>
    <x v="3"/>
    <x v="69"/>
    <x v="120"/>
    <x v="111"/>
    <x v="137"/>
    <x v="114"/>
    <x v="123"/>
    <x v="1"/>
    <x v="15"/>
  </r>
  <r>
    <x v="8"/>
    <x v="0"/>
    <x v="0"/>
    <x v="2"/>
    <x v="8"/>
    <x v="8"/>
    <x v="3"/>
    <x v="3"/>
    <x v="3"/>
    <x v="3"/>
    <x v="4"/>
    <x v="72"/>
    <x v="121"/>
    <x v="112"/>
    <x v="138"/>
    <x v="109"/>
    <x v="124"/>
    <x v="2"/>
    <x v="2"/>
  </r>
  <r>
    <x v="8"/>
    <x v="0"/>
    <x v="0"/>
    <x v="2"/>
    <x v="8"/>
    <x v="8"/>
    <x v="6"/>
    <x v="6"/>
    <x v="6"/>
    <x v="6"/>
    <x v="4"/>
    <x v="72"/>
    <x v="121"/>
    <x v="113"/>
    <x v="139"/>
    <x v="63"/>
    <x v="125"/>
    <x v="2"/>
    <x v="2"/>
  </r>
  <r>
    <x v="8"/>
    <x v="0"/>
    <x v="0"/>
    <x v="2"/>
    <x v="8"/>
    <x v="8"/>
    <x v="4"/>
    <x v="4"/>
    <x v="4"/>
    <x v="4"/>
    <x v="6"/>
    <x v="120"/>
    <x v="122"/>
    <x v="29"/>
    <x v="140"/>
    <x v="111"/>
    <x v="126"/>
    <x v="2"/>
    <x v="2"/>
  </r>
  <r>
    <x v="8"/>
    <x v="0"/>
    <x v="0"/>
    <x v="2"/>
    <x v="8"/>
    <x v="8"/>
    <x v="5"/>
    <x v="5"/>
    <x v="5"/>
    <x v="5"/>
    <x v="7"/>
    <x v="73"/>
    <x v="23"/>
    <x v="114"/>
    <x v="141"/>
    <x v="106"/>
    <x v="35"/>
    <x v="2"/>
    <x v="2"/>
  </r>
  <r>
    <x v="8"/>
    <x v="0"/>
    <x v="0"/>
    <x v="2"/>
    <x v="8"/>
    <x v="8"/>
    <x v="12"/>
    <x v="12"/>
    <x v="12"/>
    <x v="12"/>
    <x v="8"/>
    <x v="74"/>
    <x v="109"/>
    <x v="115"/>
    <x v="142"/>
    <x v="102"/>
    <x v="8"/>
    <x v="2"/>
    <x v="2"/>
  </r>
  <r>
    <x v="8"/>
    <x v="0"/>
    <x v="0"/>
    <x v="2"/>
    <x v="8"/>
    <x v="8"/>
    <x v="7"/>
    <x v="7"/>
    <x v="7"/>
    <x v="7"/>
    <x v="9"/>
    <x v="85"/>
    <x v="44"/>
    <x v="114"/>
    <x v="141"/>
    <x v="45"/>
    <x v="127"/>
    <x v="2"/>
    <x v="2"/>
  </r>
  <r>
    <x v="8"/>
    <x v="0"/>
    <x v="0"/>
    <x v="2"/>
    <x v="8"/>
    <x v="8"/>
    <x v="8"/>
    <x v="8"/>
    <x v="8"/>
    <x v="8"/>
    <x v="10"/>
    <x v="128"/>
    <x v="79"/>
    <x v="115"/>
    <x v="142"/>
    <x v="61"/>
    <x v="73"/>
    <x v="2"/>
    <x v="2"/>
  </r>
  <r>
    <x v="8"/>
    <x v="0"/>
    <x v="0"/>
    <x v="2"/>
    <x v="8"/>
    <x v="8"/>
    <x v="13"/>
    <x v="13"/>
    <x v="13"/>
    <x v="13"/>
    <x v="11"/>
    <x v="88"/>
    <x v="123"/>
    <x v="47"/>
    <x v="33"/>
    <x v="43"/>
    <x v="128"/>
    <x v="2"/>
    <x v="2"/>
  </r>
  <r>
    <x v="8"/>
    <x v="0"/>
    <x v="0"/>
    <x v="2"/>
    <x v="8"/>
    <x v="8"/>
    <x v="20"/>
    <x v="20"/>
    <x v="20"/>
    <x v="20"/>
    <x v="12"/>
    <x v="129"/>
    <x v="30"/>
    <x v="53"/>
    <x v="65"/>
    <x v="49"/>
    <x v="46"/>
    <x v="2"/>
    <x v="2"/>
  </r>
  <r>
    <x v="8"/>
    <x v="0"/>
    <x v="0"/>
    <x v="2"/>
    <x v="8"/>
    <x v="8"/>
    <x v="10"/>
    <x v="10"/>
    <x v="10"/>
    <x v="10"/>
    <x v="13"/>
    <x v="130"/>
    <x v="100"/>
    <x v="116"/>
    <x v="31"/>
    <x v="108"/>
    <x v="119"/>
    <x v="2"/>
    <x v="2"/>
  </r>
  <r>
    <x v="8"/>
    <x v="0"/>
    <x v="0"/>
    <x v="2"/>
    <x v="8"/>
    <x v="8"/>
    <x v="22"/>
    <x v="22"/>
    <x v="22"/>
    <x v="22"/>
    <x v="14"/>
    <x v="125"/>
    <x v="11"/>
    <x v="57"/>
    <x v="129"/>
    <x v="115"/>
    <x v="105"/>
    <x v="2"/>
    <x v="2"/>
  </r>
  <r>
    <x v="8"/>
    <x v="0"/>
    <x v="0"/>
    <x v="2"/>
    <x v="8"/>
    <x v="8"/>
    <x v="15"/>
    <x v="15"/>
    <x v="15"/>
    <x v="15"/>
    <x v="15"/>
    <x v="131"/>
    <x v="124"/>
    <x v="57"/>
    <x v="129"/>
    <x v="116"/>
    <x v="129"/>
    <x v="2"/>
    <x v="2"/>
  </r>
  <r>
    <x v="8"/>
    <x v="0"/>
    <x v="0"/>
    <x v="2"/>
    <x v="8"/>
    <x v="8"/>
    <x v="14"/>
    <x v="14"/>
    <x v="14"/>
    <x v="14"/>
    <x v="16"/>
    <x v="132"/>
    <x v="125"/>
    <x v="78"/>
    <x v="37"/>
    <x v="117"/>
    <x v="130"/>
    <x v="2"/>
    <x v="2"/>
  </r>
  <r>
    <x v="8"/>
    <x v="0"/>
    <x v="0"/>
    <x v="2"/>
    <x v="8"/>
    <x v="8"/>
    <x v="27"/>
    <x v="27"/>
    <x v="27"/>
    <x v="27"/>
    <x v="17"/>
    <x v="133"/>
    <x v="35"/>
    <x v="117"/>
    <x v="10"/>
    <x v="63"/>
    <x v="125"/>
    <x v="2"/>
    <x v="2"/>
  </r>
  <r>
    <x v="8"/>
    <x v="0"/>
    <x v="0"/>
    <x v="2"/>
    <x v="8"/>
    <x v="8"/>
    <x v="24"/>
    <x v="24"/>
    <x v="24"/>
    <x v="24"/>
    <x v="17"/>
    <x v="133"/>
    <x v="35"/>
    <x v="72"/>
    <x v="143"/>
    <x v="71"/>
    <x v="131"/>
    <x v="2"/>
    <x v="2"/>
  </r>
  <r>
    <x v="8"/>
    <x v="0"/>
    <x v="0"/>
    <x v="2"/>
    <x v="8"/>
    <x v="8"/>
    <x v="21"/>
    <x v="21"/>
    <x v="21"/>
    <x v="21"/>
    <x v="19"/>
    <x v="134"/>
    <x v="17"/>
    <x v="84"/>
    <x v="144"/>
    <x v="64"/>
    <x v="32"/>
    <x v="2"/>
    <x v="2"/>
  </r>
  <r>
    <x v="9"/>
    <x v="0"/>
    <x v="0"/>
    <x v="2"/>
    <x v="9"/>
    <x v="9"/>
    <x v="0"/>
    <x v="0"/>
    <x v="0"/>
    <x v="0"/>
    <x v="0"/>
    <x v="135"/>
    <x v="126"/>
    <x v="118"/>
    <x v="145"/>
    <x v="55"/>
    <x v="132"/>
    <x v="2"/>
    <x v="2"/>
  </r>
  <r>
    <x v="9"/>
    <x v="0"/>
    <x v="0"/>
    <x v="2"/>
    <x v="9"/>
    <x v="9"/>
    <x v="1"/>
    <x v="1"/>
    <x v="1"/>
    <x v="1"/>
    <x v="1"/>
    <x v="136"/>
    <x v="127"/>
    <x v="119"/>
    <x v="146"/>
    <x v="51"/>
    <x v="16"/>
    <x v="2"/>
    <x v="2"/>
  </r>
  <r>
    <x v="9"/>
    <x v="0"/>
    <x v="0"/>
    <x v="2"/>
    <x v="9"/>
    <x v="9"/>
    <x v="5"/>
    <x v="5"/>
    <x v="5"/>
    <x v="5"/>
    <x v="2"/>
    <x v="69"/>
    <x v="128"/>
    <x v="49"/>
    <x v="147"/>
    <x v="107"/>
    <x v="22"/>
    <x v="2"/>
    <x v="2"/>
  </r>
  <r>
    <x v="9"/>
    <x v="0"/>
    <x v="0"/>
    <x v="2"/>
    <x v="9"/>
    <x v="9"/>
    <x v="6"/>
    <x v="6"/>
    <x v="6"/>
    <x v="6"/>
    <x v="3"/>
    <x v="119"/>
    <x v="129"/>
    <x v="70"/>
    <x v="148"/>
    <x v="106"/>
    <x v="133"/>
    <x v="2"/>
    <x v="2"/>
  </r>
  <r>
    <x v="9"/>
    <x v="0"/>
    <x v="0"/>
    <x v="2"/>
    <x v="9"/>
    <x v="9"/>
    <x v="4"/>
    <x v="4"/>
    <x v="4"/>
    <x v="4"/>
    <x v="4"/>
    <x v="71"/>
    <x v="130"/>
    <x v="71"/>
    <x v="94"/>
    <x v="101"/>
    <x v="134"/>
    <x v="2"/>
    <x v="2"/>
  </r>
  <r>
    <x v="9"/>
    <x v="0"/>
    <x v="0"/>
    <x v="2"/>
    <x v="9"/>
    <x v="9"/>
    <x v="8"/>
    <x v="8"/>
    <x v="8"/>
    <x v="8"/>
    <x v="5"/>
    <x v="109"/>
    <x v="131"/>
    <x v="120"/>
    <x v="149"/>
    <x v="117"/>
    <x v="135"/>
    <x v="1"/>
    <x v="16"/>
  </r>
  <r>
    <x v="9"/>
    <x v="0"/>
    <x v="0"/>
    <x v="2"/>
    <x v="9"/>
    <x v="9"/>
    <x v="2"/>
    <x v="2"/>
    <x v="2"/>
    <x v="2"/>
    <x v="6"/>
    <x v="137"/>
    <x v="132"/>
    <x v="121"/>
    <x v="150"/>
    <x v="106"/>
    <x v="133"/>
    <x v="2"/>
    <x v="2"/>
  </r>
  <r>
    <x v="9"/>
    <x v="0"/>
    <x v="0"/>
    <x v="2"/>
    <x v="9"/>
    <x v="9"/>
    <x v="12"/>
    <x v="12"/>
    <x v="12"/>
    <x v="12"/>
    <x v="7"/>
    <x v="73"/>
    <x v="77"/>
    <x v="122"/>
    <x v="151"/>
    <x v="117"/>
    <x v="135"/>
    <x v="2"/>
    <x v="2"/>
  </r>
  <r>
    <x v="9"/>
    <x v="0"/>
    <x v="0"/>
    <x v="2"/>
    <x v="9"/>
    <x v="9"/>
    <x v="9"/>
    <x v="9"/>
    <x v="9"/>
    <x v="9"/>
    <x v="8"/>
    <x v="59"/>
    <x v="133"/>
    <x v="47"/>
    <x v="16"/>
    <x v="62"/>
    <x v="136"/>
    <x v="1"/>
    <x v="16"/>
  </r>
  <r>
    <x v="9"/>
    <x v="0"/>
    <x v="0"/>
    <x v="2"/>
    <x v="9"/>
    <x v="9"/>
    <x v="10"/>
    <x v="10"/>
    <x v="10"/>
    <x v="10"/>
    <x v="9"/>
    <x v="111"/>
    <x v="134"/>
    <x v="122"/>
    <x v="151"/>
    <x v="48"/>
    <x v="137"/>
    <x v="2"/>
    <x v="2"/>
  </r>
  <r>
    <x v="9"/>
    <x v="0"/>
    <x v="0"/>
    <x v="2"/>
    <x v="9"/>
    <x v="9"/>
    <x v="3"/>
    <x v="3"/>
    <x v="3"/>
    <x v="3"/>
    <x v="10"/>
    <x v="112"/>
    <x v="113"/>
    <x v="123"/>
    <x v="152"/>
    <x v="77"/>
    <x v="138"/>
    <x v="2"/>
    <x v="2"/>
  </r>
  <r>
    <x v="9"/>
    <x v="0"/>
    <x v="0"/>
    <x v="2"/>
    <x v="9"/>
    <x v="9"/>
    <x v="20"/>
    <x v="20"/>
    <x v="20"/>
    <x v="20"/>
    <x v="11"/>
    <x v="129"/>
    <x v="135"/>
    <x v="57"/>
    <x v="153"/>
    <x v="98"/>
    <x v="99"/>
    <x v="2"/>
    <x v="2"/>
  </r>
  <r>
    <x v="9"/>
    <x v="0"/>
    <x v="0"/>
    <x v="2"/>
    <x v="9"/>
    <x v="9"/>
    <x v="24"/>
    <x v="24"/>
    <x v="24"/>
    <x v="24"/>
    <x v="11"/>
    <x v="129"/>
    <x v="135"/>
    <x v="124"/>
    <x v="154"/>
    <x v="71"/>
    <x v="62"/>
    <x v="2"/>
    <x v="2"/>
  </r>
  <r>
    <x v="9"/>
    <x v="0"/>
    <x v="0"/>
    <x v="2"/>
    <x v="9"/>
    <x v="9"/>
    <x v="18"/>
    <x v="18"/>
    <x v="18"/>
    <x v="18"/>
    <x v="13"/>
    <x v="125"/>
    <x v="91"/>
    <x v="58"/>
    <x v="155"/>
    <x v="112"/>
    <x v="81"/>
    <x v="2"/>
    <x v="2"/>
  </r>
  <r>
    <x v="9"/>
    <x v="0"/>
    <x v="0"/>
    <x v="2"/>
    <x v="9"/>
    <x v="9"/>
    <x v="14"/>
    <x v="14"/>
    <x v="14"/>
    <x v="14"/>
    <x v="14"/>
    <x v="131"/>
    <x v="16"/>
    <x v="57"/>
    <x v="153"/>
    <x v="116"/>
    <x v="139"/>
    <x v="2"/>
    <x v="2"/>
  </r>
  <r>
    <x v="9"/>
    <x v="0"/>
    <x v="0"/>
    <x v="2"/>
    <x v="9"/>
    <x v="9"/>
    <x v="7"/>
    <x v="7"/>
    <x v="7"/>
    <x v="7"/>
    <x v="15"/>
    <x v="132"/>
    <x v="51"/>
    <x v="125"/>
    <x v="156"/>
    <x v="71"/>
    <x v="62"/>
    <x v="2"/>
    <x v="2"/>
  </r>
  <r>
    <x v="9"/>
    <x v="0"/>
    <x v="0"/>
    <x v="2"/>
    <x v="9"/>
    <x v="9"/>
    <x v="36"/>
    <x v="36"/>
    <x v="36"/>
    <x v="36"/>
    <x v="16"/>
    <x v="138"/>
    <x v="17"/>
    <x v="84"/>
    <x v="85"/>
    <x v="110"/>
    <x v="140"/>
    <x v="2"/>
    <x v="2"/>
  </r>
  <r>
    <x v="9"/>
    <x v="0"/>
    <x v="0"/>
    <x v="2"/>
    <x v="9"/>
    <x v="9"/>
    <x v="22"/>
    <x v="22"/>
    <x v="22"/>
    <x v="22"/>
    <x v="17"/>
    <x v="133"/>
    <x v="68"/>
    <x v="59"/>
    <x v="157"/>
    <x v="112"/>
    <x v="81"/>
    <x v="2"/>
    <x v="2"/>
  </r>
  <r>
    <x v="9"/>
    <x v="0"/>
    <x v="0"/>
    <x v="2"/>
    <x v="9"/>
    <x v="9"/>
    <x v="11"/>
    <x v="11"/>
    <x v="11"/>
    <x v="11"/>
    <x v="17"/>
    <x v="133"/>
    <x v="68"/>
    <x v="126"/>
    <x v="158"/>
    <x v="109"/>
    <x v="141"/>
    <x v="2"/>
    <x v="2"/>
  </r>
  <r>
    <x v="9"/>
    <x v="0"/>
    <x v="0"/>
    <x v="2"/>
    <x v="9"/>
    <x v="9"/>
    <x v="37"/>
    <x v="37"/>
    <x v="37"/>
    <x v="37"/>
    <x v="17"/>
    <x v="133"/>
    <x v="68"/>
    <x v="117"/>
    <x v="159"/>
    <x v="63"/>
    <x v="142"/>
    <x v="2"/>
    <x v="2"/>
  </r>
  <r>
    <x v="10"/>
    <x v="0"/>
    <x v="0"/>
    <x v="2"/>
    <x v="10"/>
    <x v="10"/>
    <x v="0"/>
    <x v="0"/>
    <x v="0"/>
    <x v="0"/>
    <x v="0"/>
    <x v="139"/>
    <x v="136"/>
    <x v="127"/>
    <x v="160"/>
    <x v="118"/>
    <x v="143"/>
    <x v="2"/>
    <x v="2"/>
  </r>
  <r>
    <x v="10"/>
    <x v="0"/>
    <x v="0"/>
    <x v="2"/>
    <x v="10"/>
    <x v="10"/>
    <x v="1"/>
    <x v="1"/>
    <x v="1"/>
    <x v="1"/>
    <x v="1"/>
    <x v="140"/>
    <x v="137"/>
    <x v="128"/>
    <x v="161"/>
    <x v="79"/>
    <x v="144"/>
    <x v="2"/>
    <x v="2"/>
  </r>
  <r>
    <x v="10"/>
    <x v="0"/>
    <x v="0"/>
    <x v="2"/>
    <x v="10"/>
    <x v="10"/>
    <x v="9"/>
    <x v="9"/>
    <x v="9"/>
    <x v="9"/>
    <x v="2"/>
    <x v="141"/>
    <x v="138"/>
    <x v="59"/>
    <x v="16"/>
    <x v="119"/>
    <x v="145"/>
    <x v="2"/>
    <x v="2"/>
  </r>
  <r>
    <x v="10"/>
    <x v="0"/>
    <x v="0"/>
    <x v="2"/>
    <x v="10"/>
    <x v="10"/>
    <x v="5"/>
    <x v="5"/>
    <x v="5"/>
    <x v="5"/>
    <x v="3"/>
    <x v="142"/>
    <x v="139"/>
    <x v="129"/>
    <x v="77"/>
    <x v="98"/>
    <x v="42"/>
    <x v="2"/>
    <x v="2"/>
  </r>
  <r>
    <x v="10"/>
    <x v="0"/>
    <x v="0"/>
    <x v="2"/>
    <x v="10"/>
    <x v="10"/>
    <x v="2"/>
    <x v="2"/>
    <x v="2"/>
    <x v="2"/>
    <x v="4"/>
    <x v="143"/>
    <x v="140"/>
    <x v="129"/>
    <x v="77"/>
    <x v="105"/>
    <x v="146"/>
    <x v="2"/>
    <x v="2"/>
  </r>
  <r>
    <x v="10"/>
    <x v="0"/>
    <x v="0"/>
    <x v="2"/>
    <x v="10"/>
    <x v="10"/>
    <x v="11"/>
    <x v="11"/>
    <x v="11"/>
    <x v="11"/>
    <x v="5"/>
    <x v="144"/>
    <x v="75"/>
    <x v="130"/>
    <x v="162"/>
    <x v="88"/>
    <x v="147"/>
    <x v="2"/>
    <x v="2"/>
  </r>
  <r>
    <x v="10"/>
    <x v="0"/>
    <x v="0"/>
    <x v="2"/>
    <x v="10"/>
    <x v="10"/>
    <x v="3"/>
    <x v="3"/>
    <x v="3"/>
    <x v="3"/>
    <x v="6"/>
    <x v="45"/>
    <x v="132"/>
    <x v="35"/>
    <x v="163"/>
    <x v="51"/>
    <x v="148"/>
    <x v="2"/>
    <x v="2"/>
  </r>
  <r>
    <x v="10"/>
    <x v="0"/>
    <x v="0"/>
    <x v="2"/>
    <x v="10"/>
    <x v="10"/>
    <x v="8"/>
    <x v="8"/>
    <x v="8"/>
    <x v="8"/>
    <x v="7"/>
    <x v="145"/>
    <x v="141"/>
    <x v="31"/>
    <x v="164"/>
    <x v="120"/>
    <x v="149"/>
    <x v="2"/>
    <x v="2"/>
  </r>
  <r>
    <x v="10"/>
    <x v="0"/>
    <x v="0"/>
    <x v="2"/>
    <x v="10"/>
    <x v="10"/>
    <x v="14"/>
    <x v="14"/>
    <x v="14"/>
    <x v="14"/>
    <x v="8"/>
    <x v="146"/>
    <x v="46"/>
    <x v="51"/>
    <x v="165"/>
    <x v="121"/>
    <x v="150"/>
    <x v="2"/>
    <x v="2"/>
  </r>
  <r>
    <x v="10"/>
    <x v="0"/>
    <x v="0"/>
    <x v="2"/>
    <x v="10"/>
    <x v="10"/>
    <x v="6"/>
    <x v="6"/>
    <x v="6"/>
    <x v="6"/>
    <x v="9"/>
    <x v="108"/>
    <x v="142"/>
    <x v="131"/>
    <x v="166"/>
    <x v="77"/>
    <x v="151"/>
    <x v="2"/>
    <x v="2"/>
  </r>
  <r>
    <x v="10"/>
    <x v="0"/>
    <x v="0"/>
    <x v="2"/>
    <x v="10"/>
    <x v="10"/>
    <x v="4"/>
    <x v="4"/>
    <x v="4"/>
    <x v="4"/>
    <x v="9"/>
    <x v="108"/>
    <x v="142"/>
    <x v="95"/>
    <x v="167"/>
    <x v="83"/>
    <x v="134"/>
    <x v="2"/>
    <x v="2"/>
  </r>
  <r>
    <x v="10"/>
    <x v="0"/>
    <x v="0"/>
    <x v="2"/>
    <x v="10"/>
    <x v="10"/>
    <x v="12"/>
    <x v="12"/>
    <x v="12"/>
    <x v="12"/>
    <x v="11"/>
    <x v="147"/>
    <x v="49"/>
    <x v="52"/>
    <x v="168"/>
    <x v="91"/>
    <x v="152"/>
    <x v="2"/>
    <x v="2"/>
  </r>
  <r>
    <x v="10"/>
    <x v="0"/>
    <x v="0"/>
    <x v="2"/>
    <x v="10"/>
    <x v="10"/>
    <x v="7"/>
    <x v="7"/>
    <x v="7"/>
    <x v="7"/>
    <x v="12"/>
    <x v="50"/>
    <x v="10"/>
    <x v="132"/>
    <x v="169"/>
    <x v="63"/>
    <x v="7"/>
    <x v="2"/>
    <x v="2"/>
  </r>
  <r>
    <x v="10"/>
    <x v="0"/>
    <x v="0"/>
    <x v="2"/>
    <x v="10"/>
    <x v="10"/>
    <x v="10"/>
    <x v="10"/>
    <x v="10"/>
    <x v="10"/>
    <x v="13"/>
    <x v="104"/>
    <x v="135"/>
    <x v="133"/>
    <x v="170"/>
    <x v="79"/>
    <x v="144"/>
    <x v="2"/>
    <x v="2"/>
  </r>
  <r>
    <x v="10"/>
    <x v="0"/>
    <x v="0"/>
    <x v="2"/>
    <x v="10"/>
    <x v="10"/>
    <x v="38"/>
    <x v="38"/>
    <x v="38"/>
    <x v="38"/>
    <x v="14"/>
    <x v="80"/>
    <x v="125"/>
    <x v="69"/>
    <x v="171"/>
    <x v="75"/>
    <x v="55"/>
    <x v="2"/>
    <x v="2"/>
  </r>
  <r>
    <x v="10"/>
    <x v="0"/>
    <x v="0"/>
    <x v="2"/>
    <x v="10"/>
    <x v="10"/>
    <x v="13"/>
    <x v="13"/>
    <x v="13"/>
    <x v="13"/>
    <x v="15"/>
    <x v="148"/>
    <x v="143"/>
    <x v="57"/>
    <x v="172"/>
    <x v="114"/>
    <x v="153"/>
    <x v="2"/>
    <x v="2"/>
  </r>
  <r>
    <x v="10"/>
    <x v="0"/>
    <x v="0"/>
    <x v="2"/>
    <x v="10"/>
    <x v="10"/>
    <x v="24"/>
    <x v="24"/>
    <x v="24"/>
    <x v="24"/>
    <x v="15"/>
    <x v="148"/>
    <x v="143"/>
    <x v="134"/>
    <x v="173"/>
    <x v="81"/>
    <x v="154"/>
    <x v="2"/>
    <x v="2"/>
  </r>
  <r>
    <x v="10"/>
    <x v="0"/>
    <x v="0"/>
    <x v="2"/>
    <x v="10"/>
    <x v="10"/>
    <x v="15"/>
    <x v="15"/>
    <x v="15"/>
    <x v="15"/>
    <x v="17"/>
    <x v="70"/>
    <x v="144"/>
    <x v="84"/>
    <x v="70"/>
    <x v="53"/>
    <x v="155"/>
    <x v="2"/>
    <x v="2"/>
  </r>
  <r>
    <x v="10"/>
    <x v="0"/>
    <x v="0"/>
    <x v="2"/>
    <x v="10"/>
    <x v="10"/>
    <x v="39"/>
    <x v="39"/>
    <x v="39"/>
    <x v="39"/>
    <x v="17"/>
    <x v="70"/>
    <x v="144"/>
    <x v="54"/>
    <x v="9"/>
    <x v="87"/>
    <x v="156"/>
    <x v="2"/>
    <x v="2"/>
  </r>
  <r>
    <x v="10"/>
    <x v="0"/>
    <x v="0"/>
    <x v="2"/>
    <x v="10"/>
    <x v="10"/>
    <x v="19"/>
    <x v="19"/>
    <x v="19"/>
    <x v="19"/>
    <x v="19"/>
    <x v="149"/>
    <x v="53"/>
    <x v="122"/>
    <x v="174"/>
    <x v="79"/>
    <x v="144"/>
    <x v="2"/>
    <x v="2"/>
  </r>
  <r>
    <x v="11"/>
    <x v="0"/>
    <x v="0"/>
    <x v="2"/>
    <x v="11"/>
    <x v="11"/>
    <x v="1"/>
    <x v="1"/>
    <x v="1"/>
    <x v="1"/>
    <x v="0"/>
    <x v="150"/>
    <x v="145"/>
    <x v="135"/>
    <x v="175"/>
    <x v="116"/>
    <x v="81"/>
    <x v="2"/>
    <x v="2"/>
  </r>
  <r>
    <x v="11"/>
    <x v="0"/>
    <x v="0"/>
    <x v="2"/>
    <x v="11"/>
    <x v="11"/>
    <x v="0"/>
    <x v="0"/>
    <x v="0"/>
    <x v="0"/>
    <x v="1"/>
    <x v="50"/>
    <x v="71"/>
    <x v="93"/>
    <x v="142"/>
    <x v="65"/>
    <x v="157"/>
    <x v="2"/>
    <x v="2"/>
  </r>
  <r>
    <x v="11"/>
    <x v="0"/>
    <x v="0"/>
    <x v="2"/>
    <x v="11"/>
    <x v="11"/>
    <x v="6"/>
    <x v="6"/>
    <x v="6"/>
    <x v="6"/>
    <x v="2"/>
    <x v="151"/>
    <x v="146"/>
    <x v="132"/>
    <x v="1"/>
    <x v="111"/>
    <x v="69"/>
    <x v="2"/>
    <x v="2"/>
  </r>
  <r>
    <x v="11"/>
    <x v="0"/>
    <x v="0"/>
    <x v="2"/>
    <x v="11"/>
    <x v="11"/>
    <x v="9"/>
    <x v="9"/>
    <x v="9"/>
    <x v="9"/>
    <x v="3"/>
    <x v="66"/>
    <x v="147"/>
    <x v="78"/>
    <x v="9"/>
    <x v="122"/>
    <x v="158"/>
    <x v="1"/>
    <x v="15"/>
  </r>
  <r>
    <x v="11"/>
    <x v="0"/>
    <x v="0"/>
    <x v="2"/>
    <x v="11"/>
    <x v="11"/>
    <x v="4"/>
    <x v="4"/>
    <x v="4"/>
    <x v="4"/>
    <x v="4"/>
    <x v="104"/>
    <x v="148"/>
    <x v="136"/>
    <x v="176"/>
    <x v="112"/>
    <x v="79"/>
    <x v="2"/>
    <x v="2"/>
  </r>
  <r>
    <x v="11"/>
    <x v="0"/>
    <x v="0"/>
    <x v="2"/>
    <x v="11"/>
    <x v="11"/>
    <x v="2"/>
    <x v="2"/>
    <x v="2"/>
    <x v="2"/>
    <x v="5"/>
    <x v="152"/>
    <x v="60"/>
    <x v="136"/>
    <x v="176"/>
    <x v="81"/>
    <x v="127"/>
    <x v="2"/>
    <x v="2"/>
  </r>
  <r>
    <x v="11"/>
    <x v="0"/>
    <x v="0"/>
    <x v="2"/>
    <x v="11"/>
    <x v="11"/>
    <x v="5"/>
    <x v="5"/>
    <x v="5"/>
    <x v="5"/>
    <x v="6"/>
    <x v="84"/>
    <x v="149"/>
    <x v="137"/>
    <x v="177"/>
    <x v="77"/>
    <x v="22"/>
    <x v="1"/>
    <x v="15"/>
  </r>
  <r>
    <x v="11"/>
    <x v="0"/>
    <x v="0"/>
    <x v="2"/>
    <x v="11"/>
    <x v="11"/>
    <x v="16"/>
    <x v="16"/>
    <x v="16"/>
    <x v="16"/>
    <x v="7"/>
    <x v="71"/>
    <x v="132"/>
    <x v="55"/>
    <x v="178"/>
    <x v="123"/>
    <x v="101"/>
    <x v="2"/>
    <x v="2"/>
  </r>
  <r>
    <x v="11"/>
    <x v="0"/>
    <x v="0"/>
    <x v="2"/>
    <x v="11"/>
    <x v="11"/>
    <x v="8"/>
    <x v="8"/>
    <x v="8"/>
    <x v="8"/>
    <x v="8"/>
    <x v="55"/>
    <x v="150"/>
    <x v="122"/>
    <x v="151"/>
    <x v="99"/>
    <x v="159"/>
    <x v="2"/>
    <x v="2"/>
  </r>
  <r>
    <x v="11"/>
    <x v="0"/>
    <x v="0"/>
    <x v="2"/>
    <x v="11"/>
    <x v="11"/>
    <x v="13"/>
    <x v="13"/>
    <x v="13"/>
    <x v="13"/>
    <x v="9"/>
    <x v="109"/>
    <x v="63"/>
    <x v="57"/>
    <x v="153"/>
    <x v="54"/>
    <x v="102"/>
    <x v="2"/>
    <x v="2"/>
  </r>
  <r>
    <x v="11"/>
    <x v="0"/>
    <x v="0"/>
    <x v="2"/>
    <x v="11"/>
    <x v="11"/>
    <x v="20"/>
    <x v="20"/>
    <x v="20"/>
    <x v="20"/>
    <x v="10"/>
    <x v="56"/>
    <x v="133"/>
    <x v="84"/>
    <x v="171"/>
    <x v="124"/>
    <x v="160"/>
    <x v="2"/>
    <x v="2"/>
  </r>
  <r>
    <x v="11"/>
    <x v="0"/>
    <x v="0"/>
    <x v="2"/>
    <x v="11"/>
    <x v="11"/>
    <x v="3"/>
    <x v="3"/>
    <x v="3"/>
    <x v="3"/>
    <x v="10"/>
    <x v="56"/>
    <x v="133"/>
    <x v="83"/>
    <x v="179"/>
    <x v="61"/>
    <x v="161"/>
    <x v="2"/>
    <x v="2"/>
  </r>
  <r>
    <x v="11"/>
    <x v="0"/>
    <x v="0"/>
    <x v="2"/>
    <x v="11"/>
    <x v="11"/>
    <x v="14"/>
    <x v="14"/>
    <x v="14"/>
    <x v="14"/>
    <x v="12"/>
    <x v="121"/>
    <x v="151"/>
    <x v="57"/>
    <x v="153"/>
    <x v="69"/>
    <x v="162"/>
    <x v="2"/>
    <x v="2"/>
  </r>
  <r>
    <x v="11"/>
    <x v="0"/>
    <x v="0"/>
    <x v="2"/>
    <x v="11"/>
    <x v="11"/>
    <x v="17"/>
    <x v="17"/>
    <x v="17"/>
    <x v="17"/>
    <x v="13"/>
    <x v="110"/>
    <x v="64"/>
    <x v="47"/>
    <x v="16"/>
    <x v="56"/>
    <x v="163"/>
    <x v="2"/>
    <x v="2"/>
  </r>
  <r>
    <x v="11"/>
    <x v="0"/>
    <x v="0"/>
    <x v="2"/>
    <x v="11"/>
    <x v="11"/>
    <x v="37"/>
    <x v="37"/>
    <x v="37"/>
    <x v="37"/>
    <x v="13"/>
    <x v="110"/>
    <x v="64"/>
    <x v="138"/>
    <x v="180"/>
    <x v="102"/>
    <x v="3"/>
    <x v="2"/>
    <x v="2"/>
  </r>
  <r>
    <x v="11"/>
    <x v="0"/>
    <x v="0"/>
    <x v="2"/>
    <x v="11"/>
    <x v="11"/>
    <x v="12"/>
    <x v="12"/>
    <x v="12"/>
    <x v="12"/>
    <x v="15"/>
    <x v="137"/>
    <x v="152"/>
    <x v="79"/>
    <x v="181"/>
    <x v="117"/>
    <x v="164"/>
    <x v="2"/>
    <x v="2"/>
  </r>
  <r>
    <x v="11"/>
    <x v="0"/>
    <x v="0"/>
    <x v="2"/>
    <x v="11"/>
    <x v="11"/>
    <x v="19"/>
    <x v="19"/>
    <x v="19"/>
    <x v="19"/>
    <x v="16"/>
    <x v="73"/>
    <x v="153"/>
    <x v="96"/>
    <x v="68"/>
    <x v="79"/>
    <x v="130"/>
    <x v="2"/>
    <x v="2"/>
  </r>
  <r>
    <x v="11"/>
    <x v="0"/>
    <x v="0"/>
    <x v="2"/>
    <x v="11"/>
    <x v="11"/>
    <x v="15"/>
    <x v="15"/>
    <x v="15"/>
    <x v="15"/>
    <x v="17"/>
    <x v="74"/>
    <x v="154"/>
    <x v="84"/>
    <x v="171"/>
    <x v="79"/>
    <x v="130"/>
    <x v="2"/>
    <x v="2"/>
  </r>
  <r>
    <x v="11"/>
    <x v="0"/>
    <x v="0"/>
    <x v="2"/>
    <x v="11"/>
    <x v="11"/>
    <x v="7"/>
    <x v="7"/>
    <x v="7"/>
    <x v="7"/>
    <x v="17"/>
    <x v="74"/>
    <x v="154"/>
    <x v="77"/>
    <x v="182"/>
    <x v="106"/>
    <x v="165"/>
    <x v="2"/>
    <x v="2"/>
  </r>
  <r>
    <x v="11"/>
    <x v="0"/>
    <x v="0"/>
    <x v="2"/>
    <x v="11"/>
    <x v="11"/>
    <x v="18"/>
    <x v="18"/>
    <x v="18"/>
    <x v="18"/>
    <x v="19"/>
    <x v="122"/>
    <x v="101"/>
    <x v="96"/>
    <x v="68"/>
    <x v="60"/>
    <x v="166"/>
    <x v="2"/>
    <x v="2"/>
  </r>
  <r>
    <x v="12"/>
    <x v="0"/>
    <x v="0"/>
    <x v="2"/>
    <x v="12"/>
    <x v="12"/>
    <x v="0"/>
    <x v="0"/>
    <x v="0"/>
    <x v="0"/>
    <x v="0"/>
    <x v="153"/>
    <x v="155"/>
    <x v="139"/>
    <x v="183"/>
    <x v="125"/>
    <x v="167"/>
    <x v="2"/>
    <x v="2"/>
  </r>
  <r>
    <x v="12"/>
    <x v="0"/>
    <x v="0"/>
    <x v="2"/>
    <x v="12"/>
    <x v="12"/>
    <x v="1"/>
    <x v="1"/>
    <x v="1"/>
    <x v="1"/>
    <x v="1"/>
    <x v="154"/>
    <x v="156"/>
    <x v="140"/>
    <x v="184"/>
    <x v="43"/>
    <x v="168"/>
    <x v="2"/>
    <x v="2"/>
  </r>
  <r>
    <x v="12"/>
    <x v="0"/>
    <x v="0"/>
    <x v="2"/>
    <x v="12"/>
    <x v="12"/>
    <x v="4"/>
    <x v="4"/>
    <x v="4"/>
    <x v="4"/>
    <x v="2"/>
    <x v="155"/>
    <x v="157"/>
    <x v="141"/>
    <x v="185"/>
    <x v="59"/>
    <x v="169"/>
    <x v="2"/>
    <x v="2"/>
  </r>
  <r>
    <x v="12"/>
    <x v="0"/>
    <x v="0"/>
    <x v="2"/>
    <x v="12"/>
    <x v="12"/>
    <x v="5"/>
    <x v="5"/>
    <x v="5"/>
    <x v="5"/>
    <x v="3"/>
    <x v="151"/>
    <x v="72"/>
    <x v="110"/>
    <x v="79"/>
    <x v="44"/>
    <x v="126"/>
    <x v="2"/>
    <x v="2"/>
  </r>
  <r>
    <x v="12"/>
    <x v="0"/>
    <x v="0"/>
    <x v="2"/>
    <x v="12"/>
    <x v="12"/>
    <x v="6"/>
    <x v="6"/>
    <x v="6"/>
    <x v="6"/>
    <x v="4"/>
    <x v="104"/>
    <x v="158"/>
    <x v="107"/>
    <x v="186"/>
    <x v="113"/>
    <x v="170"/>
    <x v="2"/>
    <x v="2"/>
  </r>
  <r>
    <x v="12"/>
    <x v="0"/>
    <x v="0"/>
    <x v="2"/>
    <x v="12"/>
    <x v="12"/>
    <x v="2"/>
    <x v="2"/>
    <x v="2"/>
    <x v="2"/>
    <x v="5"/>
    <x v="156"/>
    <x v="159"/>
    <x v="75"/>
    <x v="187"/>
    <x v="101"/>
    <x v="171"/>
    <x v="2"/>
    <x v="2"/>
  </r>
  <r>
    <x v="12"/>
    <x v="0"/>
    <x v="0"/>
    <x v="2"/>
    <x v="12"/>
    <x v="12"/>
    <x v="7"/>
    <x v="7"/>
    <x v="7"/>
    <x v="7"/>
    <x v="6"/>
    <x v="53"/>
    <x v="160"/>
    <x v="46"/>
    <x v="188"/>
    <x v="126"/>
    <x v="172"/>
    <x v="2"/>
    <x v="2"/>
  </r>
  <r>
    <x v="12"/>
    <x v="0"/>
    <x v="0"/>
    <x v="2"/>
    <x v="12"/>
    <x v="12"/>
    <x v="9"/>
    <x v="9"/>
    <x v="9"/>
    <x v="9"/>
    <x v="7"/>
    <x v="157"/>
    <x v="161"/>
    <x v="57"/>
    <x v="13"/>
    <x v="127"/>
    <x v="173"/>
    <x v="2"/>
    <x v="2"/>
  </r>
  <r>
    <x v="12"/>
    <x v="0"/>
    <x v="0"/>
    <x v="2"/>
    <x v="12"/>
    <x v="12"/>
    <x v="3"/>
    <x v="3"/>
    <x v="3"/>
    <x v="3"/>
    <x v="8"/>
    <x v="81"/>
    <x v="162"/>
    <x v="52"/>
    <x v="189"/>
    <x v="105"/>
    <x v="67"/>
    <x v="2"/>
    <x v="2"/>
  </r>
  <r>
    <x v="12"/>
    <x v="0"/>
    <x v="0"/>
    <x v="2"/>
    <x v="12"/>
    <x v="12"/>
    <x v="8"/>
    <x v="8"/>
    <x v="8"/>
    <x v="8"/>
    <x v="9"/>
    <x v="82"/>
    <x v="27"/>
    <x v="74"/>
    <x v="190"/>
    <x v="49"/>
    <x v="174"/>
    <x v="2"/>
    <x v="2"/>
  </r>
  <r>
    <x v="12"/>
    <x v="0"/>
    <x v="0"/>
    <x v="2"/>
    <x v="12"/>
    <x v="12"/>
    <x v="20"/>
    <x v="20"/>
    <x v="20"/>
    <x v="20"/>
    <x v="10"/>
    <x v="54"/>
    <x v="62"/>
    <x v="59"/>
    <x v="191"/>
    <x v="120"/>
    <x v="175"/>
    <x v="2"/>
    <x v="2"/>
  </r>
  <r>
    <x v="12"/>
    <x v="0"/>
    <x v="0"/>
    <x v="2"/>
    <x v="12"/>
    <x v="12"/>
    <x v="13"/>
    <x v="13"/>
    <x v="13"/>
    <x v="13"/>
    <x v="11"/>
    <x v="84"/>
    <x v="110"/>
    <x v="57"/>
    <x v="13"/>
    <x v="53"/>
    <x v="176"/>
    <x v="2"/>
    <x v="2"/>
  </r>
  <r>
    <x v="12"/>
    <x v="0"/>
    <x v="0"/>
    <x v="2"/>
    <x v="12"/>
    <x v="12"/>
    <x v="10"/>
    <x v="10"/>
    <x v="10"/>
    <x v="10"/>
    <x v="12"/>
    <x v="121"/>
    <x v="153"/>
    <x v="94"/>
    <x v="192"/>
    <x v="51"/>
    <x v="94"/>
    <x v="2"/>
    <x v="2"/>
  </r>
  <r>
    <x v="12"/>
    <x v="0"/>
    <x v="0"/>
    <x v="2"/>
    <x v="12"/>
    <x v="12"/>
    <x v="14"/>
    <x v="14"/>
    <x v="14"/>
    <x v="14"/>
    <x v="13"/>
    <x v="57"/>
    <x v="114"/>
    <x v="54"/>
    <x v="33"/>
    <x v="124"/>
    <x v="83"/>
    <x v="2"/>
    <x v="2"/>
  </r>
  <r>
    <x v="12"/>
    <x v="0"/>
    <x v="0"/>
    <x v="2"/>
    <x v="12"/>
    <x v="12"/>
    <x v="12"/>
    <x v="12"/>
    <x v="12"/>
    <x v="12"/>
    <x v="14"/>
    <x v="58"/>
    <x v="100"/>
    <x v="142"/>
    <x v="193"/>
    <x v="102"/>
    <x v="177"/>
    <x v="2"/>
    <x v="2"/>
  </r>
  <r>
    <x v="12"/>
    <x v="0"/>
    <x v="0"/>
    <x v="2"/>
    <x v="12"/>
    <x v="12"/>
    <x v="17"/>
    <x v="17"/>
    <x v="17"/>
    <x v="17"/>
    <x v="15"/>
    <x v="85"/>
    <x v="89"/>
    <x v="55"/>
    <x v="194"/>
    <x v="55"/>
    <x v="90"/>
    <x v="2"/>
    <x v="2"/>
  </r>
  <r>
    <x v="12"/>
    <x v="0"/>
    <x v="0"/>
    <x v="2"/>
    <x v="12"/>
    <x v="12"/>
    <x v="37"/>
    <x v="37"/>
    <x v="37"/>
    <x v="37"/>
    <x v="16"/>
    <x v="112"/>
    <x v="32"/>
    <x v="82"/>
    <x v="195"/>
    <x v="107"/>
    <x v="178"/>
    <x v="2"/>
    <x v="2"/>
  </r>
  <r>
    <x v="12"/>
    <x v="0"/>
    <x v="0"/>
    <x v="2"/>
    <x v="12"/>
    <x v="12"/>
    <x v="16"/>
    <x v="16"/>
    <x v="16"/>
    <x v="16"/>
    <x v="17"/>
    <x v="122"/>
    <x v="34"/>
    <x v="78"/>
    <x v="65"/>
    <x v="46"/>
    <x v="179"/>
    <x v="2"/>
    <x v="2"/>
  </r>
  <r>
    <x v="12"/>
    <x v="0"/>
    <x v="0"/>
    <x v="2"/>
    <x v="12"/>
    <x v="12"/>
    <x v="15"/>
    <x v="15"/>
    <x v="15"/>
    <x v="15"/>
    <x v="17"/>
    <x v="122"/>
    <x v="34"/>
    <x v="57"/>
    <x v="13"/>
    <x v="57"/>
    <x v="180"/>
    <x v="2"/>
    <x v="2"/>
  </r>
  <r>
    <x v="12"/>
    <x v="0"/>
    <x v="0"/>
    <x v="2"/>
    <x v="12"/>
    <x v="12"/>
    <x v="21"/>
    <x v="21"/>
    <x v="21"/>
    <x v="21"/>
    <x v="19"/>
    <x v="87"/>
    <x v="16"/>
    <x v="96"/>
    <x v="196"/>
    <x v="98"/>
    <x v="8"/>
    <x v="2"/>
    <x v="2"/>
  </r>
  <r>
    <x v="13"/>
    <x v="0"/>
    <x v="0"/>
    <x v="2"/>
    <x v="13"/>
    <x v="13"/>
    <x v="0"/>
    <x v="0"/>
    <x v="0"/>
    <x v="0"/>
    <x v="0"/>
    <x v="158"/>
    <x v="163"/>
    <x v="101"/>
    <x v="197"/>
    <x v="83"/>
    <x v="135"/>
    <x v="2"/>
    <x v="2"/>
  </r>
  <r>
    <x v="13"/>
    <x v="0"/>
    <x v="0"/>
    <x v="2"/>
    <x v="13"/>
    <x v="13"/>
    <x v="1"/>
    <x v="1"/>
    <x v="1"/>
    <x v="1"/>
    <x v="1"/>
    <x v="126"/>
    <x v="164"/>
    <x v="143"/>
    <x v="198"/>
    <x v="105"/>
    <x v="73"/>
    <x v="2"/>
    <x v="2"/>
  </r>
  <r>
    <x v="13"/>
    <x v="0"/>
    <x v="0"/>
    <x v="2"/>
    <x v="13"/>
    <x v="13"/>
    <x v="6"/>
    <x v="6"/>
    <x v="6"/>
    <x v="6"/>
    <x v="2"/>
    <x v="156"/>
    <x v="148"/>
    <x v="39"/>
    <x v="199"/>
    <x v="77"/>
    <x v="100"/>
    <x v="2"/>
    <x v="2"/>
  </r>
  <r>
    <x v="13"/>
    <x v="0"/>
    <x v="0"/>
    <x v="2"/>
    <x v="13"/>
    <x v="13"/>
    <x v="4"/>
    <x v="4"/>
    <x v="4"/>
    <x v="4"/>
    <x v="3"/>
    <x v="67"/>
    <x v="59"/>
    <x v="144"/>
    <x v="200"/>
    <x v="48"/>
    <x v="181"/>
    <x v="2"/>
    <x v="2"/>
  </r>
  <r>
    <x v="13"/>
    <x v="0"/>
    <x v="0"/>
    <x v="2"/>
    <x v="13"/>
    <x v="13"/>
    <x v="13"/>
    <x v="13"/>
    <x v="13"/>
    <x v="13"/>
    <x v="4"/>
    <x v="159"/>
    <x v="74"/>
    <x v="54"/>
    <x v="194"/>
    <x v="128"/>
    <x v="182"/>
    <x v="2"/>
    <x v="2"/>
  </r>
  <r>
    <x v="13"/>
    <x v="0"/>
    <x v="0"/>
    <x v="2"/>
    <x v="13"/>
    <x v="13"/>
    <x v="5"/>
    <x v="5"/>
    <x v="5"/>
    <x v="5"/>
    <x v="5"/>
    <x v="69"/>
    <x v="130"/>
    <x v="65"/>
    <x v="201"/>
    <x v="77"/>
    <x v="100"/>
    <x v="2"/>
    <x v="2"/>
  </r>
  <r>
    <x v="13"/>
    <x v="0"/>
    <x v="0"/>
    <x v="2"/>
    <x v="13"/>
    <x v="13"/>
    <x v="3"/>
    <x v="3"/>
    <x v="3"/>
    <x v="3"/>
    <x v="6"/>
    <x v="54"/>
    <x v="26"/>
    <x v="97"/>
    <x v="202"/>
    <x v="77"/>
    <x v="100"/>
    <x v="2"/>
    <x v="2"/>
  </r>
  <r>
    <x v="13"/>
    <x v="0"/>
    <x v="0"/>
    <x v="2"/>
    <x v="13"/>
    <x v="13"/>
    <x v="2"/>
    <x v="2"/>
    <x v="2"/>
    <x v="2"/>
    <x v="7"/>
    <x v="71"/>
    <x v="75"/>
    <x v="144"/>
    <x v="200"/>
    <x v="81"/>
    <x v="151"/>
    <x v="2"/>
    <x v="2"/>
  </r>
  <r>
    <x v="13"/>
    <x v="0"/>
    <x v="0"/>
    <x v="2"/>
    <x v="13"/>
    <x v="13"/>
    <x v="7"/>
    <x v="7"/>
    <x v="7"/>
    <x v="7"/>
    <x v="8"/>
    <x v="55"/>
    <x v="76"/>
    <x v="64"/>
    <x v="203"/>
    <x v="71"/>
    <x v="183"/>
    <x v="2"/>
    <x v="2"/>
  </r>
  <r>
    <x v="13"/>
    <x v="0"/>
    <x v="0"/>
    <x v="2"/>
    <x v="13"/>
    <x v="13"/>
    <x v="20"/>
    <x v="20"/>
    <x v="20"/>
    <x v="20"/>
    <x v="9"/>
    <x v="121"/>
    <x v="165"/>
    <x v="55"/>
    <x v="204"/>
    <x v="124"/>
    <x v="184"/>
    <x v="2"/>
    <x v="2"/>
  </r>
  <r>
    <x v="13"/>
    <x v="0"/>
    <x v="0"/>
    <x v="2"/>
    <x v="13"/>
    <x v="13"/>
    <x v="15"/>
    <x v="15"/>
    <x v="15"/>
    <x v="15"/>
    <x v="10"/>
    <x v="57"/>
    <x v="8"/>
    <x v="54"/>
    <x v="194"/>
    <x v="124"/>
    <x v="184"/>
    <x v="2"/>
    <x v="2"/>
  </r>
  <r>
    <x v="13"/>
    <x v="0"/>
    <x v="0"/>
    <x v="2"/>
    <x v="13"/>
    <x v="13"/>
    <x v="12"/>
    <x v="12"/>
    <x v="12"/>
    <x v="12"/>
    <x v="10"/>
    <x v="57"/>
    <x v="8"/>
    <x v="125"/>
    <x v="205"/>
    <x v="82"/>
    <x v="185"/>
    <x v="2"/>
    <x v="2"/>
  </r>
  <r>
    <x v="13"/>
    <x v="0"/>
    <x v="0"/>
    <x v="2"/>
    <x v="13"/>
    <x v="13"/>
    <x v="8"/>
    <x v="8"/>
    <x v="8"/>
    <x v="8"/>
    <x v="12"/>
    <x v="137"/>
    <x v="48"/>
    <x v="72"/>
    <x v="151"/>
    <x v="42"/>
    <x v="111"/>
    <x v="2"/>
    <x v="2"/>
  </r>
  <r>
    <x v="13"/>
    <x v="0"/>
    <x v="0"/>
    <x v="2"/>
    <x v="13"/>
    <x v="13"/>
    <x v="40"/>
    <x v="40"/>
    <x v="40"/>
    <x v="40"/>
    <x v="13"/>
    <x v="85"/>
    <x v="142"/>
    <x v="57"/>
    <x v="70"/>
    <x v="104"/>
    <x v="186"/>
    <x v="2"/>
    <x v="2"/>
  </r>
  <r>
    <x v="13"/>
    <x v="0"/>
    <x v="0"/>
    <x v="2"/>
    <x v="13"/>
    <x v="13"/>
    <x v="19"/>
    <x v="19"/>
    <x v="19"/>
    <x v="19"/>
    <x v="14"/>
    <x v="112"/>
    <x v="9"/>
    <x v="96"/>
    <x v="171"/>
    <x v="57"/>
    <x v="187"/>
    <x v="2"/>
    <x v="2"/>
  </r>
  <r>
    <x v="13"/>
    <x v="0"/>
    <x v="0"/>
    <x v="2"/>
    <x v="13"/>
    <x v="13"/>
    <x v="9"/>
    <x v="9"/>
    <x v="9"/>
    <x v="9"/>
    <x v="15"/>
    <x v="86"/>
    <x v="12"/>
    <x v="85"/>
    <x v="87"/>
    <x v="57"/>
    <x v="187"/>
    <x v="8"/>
    <x v="17"/>
  </r>
  <r>
    <x v="13"/>
    <x v="0"/>
    <x v="0"/>
    <x v="2"/>
    <x v="13"/>
    <x v="13"/>
    <x v="36"/>
    <x v="36"/>
    <x v="36"/>
    <x v="36"/>
    <x v="16"/>
    <x v="122"/>
    <x v="166"/>
    <x v="84"/>
    <x v="86"/>
    <x v="83"/>
    <x v="135"/>
    <x v="2"/>
    <x v="2"/>
  </r>
  <r>
    <x v="13"/>
    <x v="0"/>
    <x v="0"/>
    <x v="2"/>
    <x v="13"/>
    <x v="13"/>
    <x v="10"/>
    <x v="10"/>
    <x v="10"/>
    <x v="10"/>
    <x v="16"/>
    <x v="122"/>
    <x v="166"/>
    <x v="72"/>
    <x v="151"/>
    <x v="108"/>
    <x v="36"/>
    <x v="2"/>
    <x v="2"/>
  </r>
  <r>
    <x v="13"/>
    <x v="0"/>
    <x v="0"/>
    <x v="2"/>
    <x v="13"/>
    <x v="13"/>
    <x v="17"/>
    <x v="17"/>
    <x v="17"/>
    <x v="17"/>
    <x v="18"/>
    <x v="87"/>
    <x v="101"/>
    <x v="54"/>
    <x v="194"/>
    <x v="59"/>
    <x v="188"/>
    <x v="2"/>
    <x v="2"/>
  </r>
  <r>
    <x v="13"/>
    <x v="0"/>
    <x v="0"/>
    <x v="2"/>
    <x v="13"/>
    <x v="13"/>
    <x v="16"/>
    <x v="16"/>
    <x v="16"/>
    <x v="16"/>
    <x v="19"/>
    <x v="88"/>
    <x v="167"/>
    <x v="85"/>
    <x v="87"/>
    <x v="84"/>
    <x v="71"/>
    <x v="2"/>
    <x v="2"/>
  </r>
  <r>
    <x v="14"/>
    <x v="0"/>
    <x v="0"/>
    <x v="2"/>
    <x v="14"/>
    <x v="14"/>
    <x v="1"/>
    <x v="1"/>
    <x v="1"/>
    <x v="1"/>
    <x v="0"/>
    <x v="104"/>
    <x v="168"/>
    <x v="145"/>
    <x v="206"/>
    <x v="102"/>
    <x v="189"/>
    <x v="2"/>
    <x v="2"/>
  </r>
  <r>
    <x v="14"/>
    <x v="0"/>
    <x v="0"/>
    <x v="2"/>
    <x v="14"/>
    <x v="14"/>
    <x v="0"/>
    <x v="0"/>
    <x v="0"/>
    <x v="0"/>
    <x v="1"/>
    <x v="84"/>
    <x v="169"/>
    <x v="146"/>
    <x v="167"/>
    <x v="79"/>
    <x v="190"/>
    <x v="2"/>
    <x v="2"/>
  </r>
  <r>
    <x v="14"/>
    <x v="0"/>
    <x v="0"/>
    <x v="2"/>
    <x v="14"/>
    <x v="14"/>
    <x v="5"/>
    <x v="5"/>
    <x v="5"/>
    <x v="5"/>
    <x v="2"/>
    <x v="74"/>
    <x v="170"/>
    <x v="83"/>
    <x v="207"/>
    <x v="113"/>
    <x v="191"/>
    <x v="2"/>
    <x v="2"/>
  </r>
  <r>
    <x v="14"/>
    <x v="0"/>
    <x v="0"/>
    <x v="2"/>
    <x v="14"/>
    <x v="14"/>
    <x v="9"/>
    <x v="9"/>
    <x v="9"/>
    <x v="9"/>
    <x v="3"/>
    <x v="85"/>
    <x v="74"/>
    <x v="111"/>
    <x v="208"/>
    <x v="85"/>
    <x v="192"/>
    <x v="2"/>
    <x v="2"/>
  </r>
  <r>
    <x v="14"/>
    <x v="0"/>
    <x v="0"/>
    <x v="2"/>
    <x v="14"/>
    <x v="14"/>
    <x v="4"/>
    <x v="4"/>
    <x v="4"/>
    <x v="4"/>
    <x v="3"/>
    <x v="85"/>
    <x v="74"/>
    <x v="93"/>
    <x v="209"/>
    <x v="41"/>
    <x v="21"/>
    <x v="2"/>
    <x v="2"/>
  </r>
  <r>
    <x v="14"/>
    <x v="0"/>
    <x v="0"/>
    <x v="2"/>
    <x v="14"/>
    <x v="14"/>
    <x v="2"/>
    <x v="2"/>
    <x v="2"/>
    <x v="2"/>
    <x v="5"/>
    <x v="113"/>
    <x v="5"/>
    <x v="147"/>
    <x v="210"/>
    <x v="100"/>
    <x v="178"/>
    <x v="2"/>
    <x v="2"/>
  </r>
  <r>
    <x v="14"/>
    <x v="0"/>
    <x v="0"/>
    <x v="2"/>
    <x v="14"/>
    <x v="14"/>
    <x v="3"/>
    <x v="3"/>
    <x v="3"/>
    <x v="3"/>
    <x v="6"/>
    <x v="86"/>
    <x v="171"/>
    <x v="93"/>
    <x v="209"/>
    <x v="77"/>
    <x v="193"/>
    <x v="2"/>
    <x v="2"/>
  </r>
  <r>
    <x v="14"/>
    <x v="0"/>
    <x v="0"/>
    <x v="2"/>
    <x v="14"/>
    <x v="14"/>
    <x v="6"/>
    <x v="6"/>
    <x v="6"/>
    <x v="6"/>
    <x v="6"/>
    <x v="86"/>
    <x v="171"/>
    <x v="74"/>
    <x v="211"/>
    <x v="113"/>
    <x v="191"/>
    <x v="2"/>
    <x v="2"/>
  </r>
  <r>
    <x v="14"/>
    <x v="0"/>
    <x v="0"/>
    <x v="2"/>
    <x v="14"/>
    <x v="14"/>
    <x v="13"/>
    <x v="13"/>
    <x v="13"/>
    <x v="13"/>
    <x v="8"/>
    <x v="123"/>
    <x v="141"/>
    <x v="111"/>
    <x v="208"/>
    <x v="99"/>
    <x v="194"/>
    <x v="2"/>
    <x v="2"/>
  </r>
  <r>
    <x v="14"/>
    <x v="0"/>
    <x v="0"/>
    <x v="2"/>
    <x v="14"/>
    <x v="14"/>
    <x v="12"/>
    <x v="12"/>
    <x v="12"/>
    <x v="12"/>
    <x v="9"/>
    <x v="124"/>
    <x v="46"/>
    <x v="117"/>
    <x v="212"/>
    <x v="105"/>
    <x v="195"/>
    <x v="2"/>
    <x v="2"/>
  </r>
  <r>
    <x v="14"/>
    <x v="0"/>
    <x v="0"/>
    <x v="2"/>
    <x v="14"/>
    <x v="14"/>
    <x v="15"/>
    <x v="15"/>
    <x v="15"/>
    <x v="15"/>
    <x v="10"/>
    <x v="130"/>
    <x v="172"/>
    <x v="84"/>
    <x v="213"/>
    <x v="42"/>
    <x v="196"/>
    <x v="2"/>
    <x v="2"/>
  </r>
  <r>
    <x v="14"/>
    <x v="0"/>
    <x v="0"/>
    <x v="2"/>
    <x v="14"/>
    <x v="14"/>
    <x v="10"/>
    <x v="10"/>
    <x v="10"/>
    <x v="10"/>
    <x v="11"/>
    <x v="125"/>
    <x v="173"/>
    <x v="116"/>
    <x v="214"/>
    <x v="61"/>
    <x v="141"/>
    <x v="2"/>
    <x v="2"/>
  </r>
  <r>
    <x v="14"/>
    <x v="0"/>
    <x v="0"/>
    <x v="2"/>
    <x v="14"/>
    <x v="14"/>
    <x v="16"/>
    <x v="16"/>
    <x v="16"/>
    <x v="16"/>
    <x v="12"/>
    <x v="160"/>
    <x v="153"/>
    <x v="57"/>
    <x v="215"/>
    <x v="117"/>
    <x v="197"/>
    <x v="2"/>
    <x v="2"/>
  </r>
  <r>
    <x v="14"/>
    <x v="0"/>
    <x v="0"/>
    <x v="2"/>
    <x v="14"/>
    <x v="14"/>
    <x v="7"/>
    <x v="7"/>
    <x v="7"/>
    <x v="7"/>
    <x v="13"/>
    <x v="131"/>
    <x v="88"/>
    <x v="138"/>
    <x v="216"/>
    <x v="126"/>
    <x v="154"/>
    <x v="2"/>
    <x v="2"/>
  </r>
  <r>
    <x v="14"/>
    <x v="0"/>
    <x v="0"/>
    <x v="2"/>
    <x v="14"/>
    <x v="14"/>
    <x v="8"/>
    <x v="8"/>
    <x v="8"/>
    <x v="8"/>
    <x v="14"/>
    <x v="132"/>
    <x v="174"/>
    <x v="58"/>
    <x v="217"/>
    <x v="64"/>
    <x v="149"/>
    <x v="2"/>
    <x v="2"/>
  </r>
  <r>
    <x v="14"/>
    <x v="0"/>
    <x v="0"/>
    <x v="2"/>
    <x v="14"/>
    <x v="14"/>
    <x v="11"/>
    <x v="11"/>
    <x v="11"/>
    <x v="11"/>
    <x v="14"/>
    <x v="132"/>
    <x v="174"/>
    <x v="47"/>
    <x v="218"/>
    <x v="116"/>
    <x v="198"/>
    <x v="2"/>
    <x v="2"/>
  </r>
  <r>
    <x v="14"/>
    <x v="0"/>
    <x v="0"/>
    <x v="2"/>
    <x v="14"/>
    <x v="14"/>
    <x v="24"/>
    <x v="24"/>
    <x v="24"/>
    <x v="24"/>
    <x v="14"/>
    <x v="132"/>
    <x v="174"/>
    <x v="142"/>
    <x v="219"/>
    <x v="68"/>
    <x v="199"/>
    <x v="2"/>
    <x v="2"/>
  </r>
  <r>
    <x v="14"/>
    <x v="0"/>
    <x v="0"/>
    <x v="2"/>
    <x v="14"/>
    <x v="14"/>
    <x v="14"/>
    <x v="14"/>
    <x v="14"/>
    <x v="14"/>
    <x v="17"/>
    <x v="161"/>
    <x v="32"/>
    <x v="78"/>
    <x v="220"/>
    <x v="72"/>
    <x v="17"/>
    <x v="2"/>
    <x v="2"/>
  </r>
  <r>
    <x v="14"/>
    <x v="0"/>
    <x v="0"/>
    <x v="2"/>
    <x v="14"/>
    <x v="14"/>
    <x v="17"/>
    <x v="17"/>
    <x v="17"/>
    <x v="17"/>
    <x v="18"/>
    <x v="134"/>
    <x v="125"/>
    <x v="78"/>
    <x v="220"/>
    <x v="48"/>
    <x v="174"/>
    <x v="2"/>
    <x v="2"/>
  </r>
  <r>
    <x v="14"/>
    <x v="0"/>
    <x v="0"/>
    <x v="2"/>
    <x v="14"/>
    <x v="14"/>
    <x v="35"/>
    <x v="35"/>
    <x v="35"/>
    <x v="35"/>
    <x v="19"/>
    <x v="162"/>
    <x v="90"/>
    <x v="47"/>
    <x v="218"/>
    <x v="110"/>
    <x v="8"/>
    <x v="2"/>
    <x v="2"/>
  </r>
  <r>
    <x v="14"/>
    <x v="0"/>
    <x v="0"/>
    <x v="2"/>
    <x v="14"/>
    <x v="14"/>
    <x v="19"/>
    <x v="19"/>
    <x v="19"/>
    <x v="19"/>
    <x v="19"/>
    <x v="162"/>
    <x v="90"/>
    <x v="54"/>
    <x v="221"/>
    <x v="129"/>
    <x v="137"/>
    <x v="2"/>
    <x v="2"/>
  </r>
  <r>
    <x v="15"/>
    <x v="0"/>
    <x v="0"/>
    <x v="2"/>
    <x v="15"/>
    <x v="15"/>
    <x v="0"/>
    <x v="0"/>
    <x v="0"/>
    <x v="0"/>
    <x v="0"/>
    <x v="116"/>
    <x v="175"/>
    <x v="148"/>
    <x v="222"/>
    <x v="83"/>
    <x v="96"/>
    <x v="2"/>
    <x v="2"/>
  </r>
  <r>
    <x v="15"/>
    <x v="0"/>
    <x v="0"/>
    <x v="2"/>
    <x v="15"/>
    <x v="15"/>
    <x v="1"/>
    <x v="1"/>
    <x v="1"/>
    <x v="1"/>
    <x v="1"/>
    <x v="159"/>
    <x v="176"/>
    <x v="49"/>
    <x v="223"/>
    <x v="63"/>
    <x v="67"/>
    <x v="2"/>
    <x v="2"/>
  </r>
  <r>
    <x v="15"/>
    <x v="0"/>
    <x v="0"/>
    <x v="2"/>
    <x v="15"/>
    <x v="15"/>
    <x v="6"/>
    <x v="6"/>
    <x v="6"/>
    <x v="6"/>
    <x v="2"/>
    <x v="55"/>
    <x v="177"/>
    <x v="144"/>
    <x v="224"/>
    <x v="68"/>
    <x v="24"/>
    <x v="2"/>
    <x v="2"/>
  </r>
  <r>
    <x v="15"/>
    <x v="0"/>
    <x v="0"/>
    <x v="2"/>
    <x v="15"/>
    <x v="15"/>
    <x v="13"/>
    <x v="13"/>
    <x v="13"/>
    <x v="13"/>
    <x v="3"/>
    <x v="121"/>
    <x v="84"/>
    <x v="55"/>
    <x v="225"/>
    <x v="124"/>
    <x v="200"/>
    <x v="2"/>
    <x v="2"/>
  </r>
  <r>
    <x v="15"/>
    <x v="0"/>
    <x v="0"/>
    <x v="2"/>
    <x v="15"/>
    <x v="15"/>
    <x v="2"/>
    <x v="2"/>
    <x v="2"/>
    <x v="2"/>
    <x v="4"/>
    <x v="58"/>
    <x v="170"/>
    <x v="29"/>
    <x v="226"/>
    <x v="45"/>
    <x v="25"/>
    <x v="2"/>
    <x v="2"/>
  </r>
  <r>
    <x v="15"/>
    <x v="0"/>
    <x v="0"/>
    <x v="2"/>
    <x v="15"/>
    <x v="15"/>
    <x v="4"/>
    <x v="4"/>
    <x v="4"/>
    <x v="4"/>
    <x v="5"/>
    <x v="112"/>
    <x v="107"/>
    <x v="68"/>
    <x v="227"/>
    <x v="111"/>
    <x v="201"/>
    <x v="2"/>
    <x v="2"/>
  </r>
  <r>
    <x v="15"/>
    <x v="0"/>
    <x v="0"/>
    <x v="2"/>
    <x v="15"/>
    <x v="15"/>
    <x v="7"/>
    <x v="7"/>
    <x v="7"/>
    <x v="7"/>
    <x v="6"/>
    <x v="113"/>
    <x v="178"/>
    <x v="112"/>
    <x v="141"/>
    <x v="68"/>
    <x v="24"/>
    <x v="2"/>
    <x v="2"/>
  </r>
  <r>
    <x v="15"/>
    <x v="0"/>
    <x v="0"/>
    <x v="2"/>
    <x v="15"/>
    <x v="15"/>
    <x v="12"/>
    <x v="12"/>
    <x v="12"/>
    <x v="12"/>
    <x v="7"/>
    <x v="88"/>
    <x v="179"/>
    <x v="115"/>
    <x v="228"/>
    <x v="77"/>
    <x v="141"/>
    <x v="2"/>
    <x v="2"/>
  </r>
  <r>
    <x v="15"/>
    <x v="0"/>
    <x v="0"/>
    <x v="2"/>
    <x v="15"/>
    <x v="15"/>
    <x v="5"/>
    <x v="5"/>
    <x v="5"/>
    <x v="5"/>
    <x v="7"/>
    <x v="88"/>
    <x v="179"/>
    <x v="68"/>
    <x v="227"/>
    <x v="45"/>
    <x v="25"/>
    <x v="2"/>
    <x v="2"/>
  </r>
  <r>
    <x v="15"/>
    <x v="0"/>
    <x v="0"/>
    <x v="2"/>
    <x v="15"/>
    <x v="15"/>
    <x v="17"/>
    <x v="17"/>
    <x v="17"/>
    <x v="17"/>
    <x v="9"/>
    <x v="124"/>
    <x v="110"/>
    <x v="55"/>
    <x v="225"/>
    <x v="51"/>
    <x v="58"/>
    <x v="2"/>
    <x v="2"/>
  </r>
  <r>
    <x v="15"/>
    <x v="0"/>
    <x v="0"/>
    <x v="2"/>
    <x v="15"/>
    <x v="15"/>
    <x v="19"/>
    <x v="19"/>
    <x v="19"/>
    <x v="19"/>
    <x v="10"/>
    <x v="129"/>
    <x v="180"/>
    <x v="96"/>
    <x v="35"/>
    <x v="42"/>
    <x v="114"/>
    <x v="2"/>
    <x v="2"/>
  </r>
  <r>
    <x v="15"/>
    <x v="0"/>
    <x v="0"/>
    <x v="2"/>
    <x v="15"/>
    <x v="15"/>
    <x v="3"/>
    <x v="3"/>
    <x v="3"/>
    <x v="3"/>
    <x v="11"/>
    <x v="130"/>
    <x v="8"/>
    <x v="138"/>
    <x v="229"/>
    <x v="68"/>
    <x v="24"/>
    <x v="2"/>
    <x v="2"/>
  </r>
  <r>
    <x v="15"/>
    <x v="0"/>
    <x v="0"/>
    <x v="2"/>
    <x v="15"/>
    <x v="15"/>
    <x v="8"/>
    <x v="8"/>
    <x v="8"/>
    <x v="8"/>
    <x v="12"/>
    <x v="163"/>
    <x v="181"/>
    <x v="146"/>
    <x v="101"/>
    <x v="107"/>
    <x v="36"/>
    <x v="2"/>
    <x v="2"/>
  </r>
  <r>
    <x v="15"/>
    <x v="0"/>
    <x v="0"/>
    <x v="2"/>
    <x v="15"/>
    <x v="15"/>
    <x v="20"/>
    <x v="20"/>
    <x v="20"/>
    <x v="20"/>
    <x v="13"/>
    <x v="133"/>
    <x v="11"/>
    <x v="47"/>
    <x v="153"/>
    <x v="72"/>
    <x v="202"/>
    <x v="2"/>
    <x v="2"/>
  </r>
  <r>
    <x v="15"/>
    <x v="0"/>
    <x v="0"/>
    <x v="2"/>
    <x v="15"/>
    <x v="15"/>
    <x v="15"/>
    <x v="15"/>
    <x v="15"/>
    <x v="15"/>
    <x v="13"/>
    <x v="133"/>
    <x v="11"/>
    <x v="111"/>
    <x v="230"/>
    <x v="116"/>
    <x v="150"/>
    <x v="2"/>
    <x v="2"/>
  </r>
  <r>
    <x v="15"/>
    <x v="0"/>
    <x v="0"/>
    <x v="2"/>
    <x v="15"/>
    <x v="15"/>
    <x v="16"/>
    <x v="16"/>
    <x v="16"/>
    <x v="16"/>
    <x v="15"/>
    <x v="161"/>
    <x v="182"/>
    <x v="78"/>
    <x v="52"/>
    <x v="72"/>
    <x v="202"/>
    <x v="2"/>
    <x v="2"/>
  </r>
  <r>
    <x v="15"/>
    <x v="0"/>
    <x v="0"/>
    <x v="2"/>
    <x v="15"/>
    <x v="15"/>
    <x v="35"/>
    <x v="35"/>
    <x v="35"/>
    <x v="35"/>
    <x v="15"/>
    <x v="161"/>
    <x v="182"/>
    <x v="59"/>
    <x v="18"/>
    <x v="129"/>
    <x v="203"/>
    <x v="2"/>
    <x v="2"/>
  </r>
  <r>
    <x v="15"/>
    <x v="0"/>
    <x v="0"/>
    <x v="2"/>
    <x v="15"/>
    <x v="15"/>
    <x v="10"/>
    <x v="10"/>
    <x v="10"/>
    <x v="10"/>
    <x v="15"/>
    <x v="161"/>
    <x v="182"/>
    <x v="117"/>
    <x v="231"/>
    <x v="111"/>
    <x v="201"/>
    <x v="2"/>
    <x v="2"/>
  </r>
  <r>
    <x v="15"/>
    <x v="0"/>
    <x v="0"/>
    <x v="2"/>
    <x v="15"/>
    <x v="15"/>
    <x v="11"/>
    <x v="11"/>
    <x v="11"/>
    <x v="11"/>
    <x v="18"/>
    <x v="134"/>
    <x v="166"/>
    <x v="59"/>
    <x v="18"/>
    <x v="105"/>
    <x v="106"/>
    <x v="2"/>
    <x v="2"/>
  </r>
  <r>
    <x v="15"/>
    <x v="0"/>
    <x v="0"/>
    <x v="2"/>
    <x v="15"/>
    <x v="15"/>
    <x v="36"/>
    <x v="36"/>
    <x v="36"/>
    <x v="36"/>
    <x v="19"/>
    <x v="164"/>
    <x v="183"/>
    <x v="54"/>
    <x v="232"/>
    <x v="105"/>
    <x v="106"/>
    <x v="2"/>
    <x v="2"/>
  </r>
  <r>
    <x v="16"/>
    <x v="0"/>
    <x v="0"/>
    <x v="2"/>
    <x v="16"/>
    <x v="16"/>
    <x v="0"/>
    <x v="0"/>
    <x v="0"/>
    <x v="0"/>
    <x v="0"/>
    <x v="80"/>
    <x v="184"/>
    <x v="137"/>
    <x v="233"/>
    <x v="83"/>
    <x v="204"/>
    <x v="2"/>
    <x v="2"/>
  </r>
  <r>
    <x v="16"/>
    <x v="0"/>
    <x v="0"/>
    <x v="2"/>
    <x v="16"/>
    <x v="16"/>
    <x v="1"/>
    <x v="1"/>
    <x v="1"/>
    <x v="1"/>
    <x v="1"/>
    <x v="121"/>
    <x v="185"/>
    <x v="137"/>
    <x v="233"/>
    <x v="81"/>
    <x v="142"/>
    <x v="2"/>
    <x v="2"/>
  </r>
  <r>
    <x v="16"/>
    <x v="0"/>
    <x v="0"/>
    <x v="2"/>
    <x v="16"/>
    <x v="16"/>
    <x v="6"/>
    <x v="6"/>
    <x v="6"/>
    <x v="6"/>
    <x v="2"/>
    <x v="114"/>
    <x v="57"/>
    <x v="74"/>
    <x v="234"/>
    <x v="107"/>
    <x v="205"/>
    <x v="2"/>
    <x v="2"/>
  </r>
  <r>
    <x v="16"/>
    <x v="0"/>
    <x v="0"/>
    <x v="2"/>
    <x v="16"/>
    <x v="16"/>
    <x v="12"/>
    <x v="12"/>
    <x v="12"/>
    <x v="12"/>
    <x v="3"/>
    <x v="125"/>
    <x v="186"/>
    <x v="116"/>
    <x v="24"/>
    <x v="61"/>
    <x v="17"/>
    <x v="2"/>
    <x v="2"/>
  </r>
  <r>
    <x v="16"/>
    <x v="0"/>
    <x v="0"/>
    <x v="2"/>
    <x v="16"/>
    <x v="16"/>
    <x v="4"/>
    <x v="4"/>
    <x v="4"/>
    <x v="4"/>
    <x v="3"/>
    <x v="125"/>
    <x v="186"/>
    <x v="138"/>
    <x v="235"/>
    <x v="45"/>
    <x v="133"/>
    <x v="2"/>
    <x v="2"/>
  </r>
  <r>
    <x v="16"/>
    <x v="0"/>
    <x v="0"/>
    <x v="2"/>
    <x v="16"/>
    <x v="16"/>
    <x v="5"/>
    <x v="5"/>
    <x v="5"/>
    <x v="5"/>
    <x v="5"/>
    <x v="133"/>
    <x v="187"/>
    <x v="79"/>
    <x v="236"/>
    <x v="68"/>
    <x v="22"/>
    <x v="2"/>
    <x v="2"/>
  </r>
  <r>
    <x v="16"/>
    <x v="0"/>
    <x v="0"/>
    <x v="2"/>
    <x v="16"/>
    <x v="16"/>
    <x v="13"/>
    <x v="13"/>
    <x v="13"/>
    <x v="13"/>
    <x v="6"/>
    <x v="164"/>
    <x v="150"/>
    <x v="111"/>
    <x v="65"/>
    <x v="48"/>
    <x v="206"/>
    <x v="2"/>
    <x v="2"/>
  </r>
  <r>
    <x v="16"/>
    <x v="0"/>
    <x v="0"/>
    <x v="2"/>
    <x v="16"/>
    <x v="16"/>
    <x v="9"/>
    <x v="9"/>
    <x v="9"/>
    <x v="9"/>
    <x v="6"/>
    <x v="164"/>
    <x v="150"/>
    <x v="111"/>
    <x v="65"/>
    <x v="48"/>
    <x v="206"/>
    <x v="2"/>
    <x v="2"/>
  </r>
  <r>
    <x v="16"/>
    <x v="0"/>
    <x v="0"/>
    <x v="2"/>
    <x v="16"/>
    <x v="16"/>
    <x v="20"/>
    <x v="20"/>
    <x v="20"/>
    <x v="20"/>
    <x v="8"/>
    <x v="165"/>
    <x v="188"/>
    <x v="85"/>
    <x v="87"/>
    <x v="110"/>
    <x v="136"/>
    <x v="2"/>
    <x v="2"/>
  </r>
  <r>
    <x v="16"/>
    <x v="0"/>
    <x v="0"/>
    <x v="2"/>
    <x v="16"/>
    <x v="16"/>
    <x v="36"/>
    <x v="36"/>
    <x v="36"/>
    <x v="36"/>
    <x v="9"/>
    <x v="166"/>
    <x v="189"/>
    <x v="78"/>
    <x v="237"/>
    <x v="64"/>
    <x v="28"/>
    <x v="2"/>
    <x v="2"/>
  </r>
  <r>
    <x v="16"/>
    <x v="0"/>
    <x v="0"/>
    <x v="2"/>
    <x v="16"/>
    <x v="16"/>
    <x v="17"/>
    <x v="17"/>
    <x v="17"/>
    <x v="17"/>
    <x v="10"/>
    <x v="167"/>
    <x v="190"/>
    <x v="53"/>
    <x v="70"/>
    <x v="64"/>
    <x v="28"/>
    <x v="2"/>
    <x v="2"/>
  </r>
  <r>
    <x v="16"/>
    <x v="0"/>
    <x v="0"/>
    <x v="2"/>
    <x v="16"/>
    <x v="16"/>
    <x v="35"/>
    <x v="35"/>
    <x v="35"/>
    <x v="35"/>
    <x v="10"/>
    <x v="167"/>
    <x v="190"/>
    <x v="55"/>
    <x v="102"/>
    <x v="44"/>
    <x v="139"/>
    <x v="2"/>
    <x v="2"/>
  </r>
  <r>
    <x v="16"/>
    <x v="0"/>
    <x v="0"/>
    <x v="2"/>
    <x v="16"/>
    <x v="16"/>
    <x v="24"/>
    <x v="24"/>
    <x v="24"/>
    <x v="24"/>
    <x v="12"/>
    <x v="168"/>
    <x v="9"/>
    <x v="117"/>
    <x v="238"/>
    <x v="126"/>
    <x v="72"/>
    <x v="2"/>
    <x v="2"/>
  </r>
  <r>
    <x v="16"/>
    <x v="0"/>
    <x v="0"/>
    <x v="2"/>
    <x v="16"/>
    <x v="16"/>
    <x v="16"/>
    <x v="16"/>
    <x v="16"/>
    <x v="16"/>
    <x v="13"/>
    <x v="169"/>
    <x v="191"/>
    <x v="85"/>
    <x v="87"/>
    <x v="64"/>
    <x v="28"/>
    <x v="2"/>
    <x v="2"/>
  </r>
  <r>
    <x v="16"/>
    <x v="0"/>
    <x v="0"/>
    <x v="2"/>
    <x v="16"/>
    <x v="16"/>
    <x v="8"/>
    <x v="8"/>
    <x v="8"/>
    <x v="8"/>
    <x v="13"/>
    <x v="169"/>
    <x v="191"/>
    <x v="55"/>
    <x v="102"/>
    <x v="77"/>
    <x v="137"/>
    <x v="2"/>
    <x v="2"/>
  </r>
  <r>
    <x v="16"/>
    <x v="0"/>
    <x v="0"/>
    <x v="2"/>
    <x v="16"/>
    <x v="16"/>
    <x v="19"/>
    <x v="19"/>
    <x v="19"/>
    <x v="19"/>
    <x v="15"/>
    <x v="170"/>
    <x v="124"/>
    <x v="55"/>
    <x v="102"/>
    <x v="63"/>
    <x v="140"/>
    <x v="2"/>
    <x v="2"/>
  </r>
  <r>
    <x v="16"/>
    <x v="0"/>
    <x v="0"/>
    <x v="2"/>
    <x v="16"/>
    <x v="16"/>
    <x v="21"/>
    <x v="21"/>
    <x v="21"/>
    <x v="21"/>
    <x v="15"/>
    <x v="170"/>
    <x v="124"/>
    <x v="57"/>
    <x v="239"/>
    <x v="101"/>
    <x v="55"/>
    <x v="2"/>
    <x v="2"/>
  </r>
  <r>
    <x v="16"/>
    <x v="0"/>
    <x v="0"/>
    <x v="2"/>
    <x v="16"/>
    <x v="16"/>
    <x v="23"/>
    <x v="23"/>
    <x v="23"/>
    <x v="23"/>
    <x v="17"/>
    <x v="171"/>
    <x v="66"/>
    <x v="47"/>
    <x v="53"/>
    <x v="63"/>
    <x v="140"/>
    <x v="2"/>
    <x v="2"/>
  </r>
  <r>
    <x v="16"/>
    <x v="0"/>
    <x v="0"/>
    <x v="2"/>
    <x v="16"/>
    <x v="16"/>
    <x v="15"/>
    <x v="15"/>
    <x v="15"/>
    <x v="15"/>
    <x v="17"/>
    <x v="171"/>
    <x v="66"/>
    <x v="78"/>
    <x v="237"/>
    <x v="77"/>
    <x v="137"/>
    <x v="2"/>
    <x v="2"/>
  </r>
  <r>
    <x v="16"/>
    <x v="0"/>
    <x v="0"/>
    <x v="2"/>
    <x v="16"/>
    <x v="16"/>
    <x v="25"/>
    <x v="25"/>
    <x v="25"/>
    <x v="25"/>
    <x v="17"/>
    <x v="171"/>
    <x v="66"/>
    <x v="108"/>
    <x v="240"/>
    <x v="130"/>
    <x v="207"/>
    <x v="2"/>
    <x v="2"/>
  </r>
  <r>
    <x v="16"/>
    <x v="0"/>
    <x v="0"/>
    <x v="2"/>
    <x v="16"/>
    <x v="16"/>
    <x v="3"/>
    <x v="3"/>
    <x v="3"/>
    <x v="3"/>
    <x v="17"/>
    <x v="171"/>
    <x v="66"/>
    <x v="51"/>
    <x v="241"/>
    <x v="68"/>
    <x v="22"/>
    <x v="2"/>
    <x v="2"/>
  </r>
  <r>
    <x v="17"/>
    <x v="0"/>
    <x v="0"/>
    <x v="2"/>
    <x v="17"/>
    <x v="17"/>
    <x v="1"/>
    <x v="1"/>
    <x v="1"/>
    <x v="1"/>
    <x v="0"/>
    <x v="65"/>
    <x v="118"/>
    <x v="48"/>
    <x v="242"/>
    <x v="101"/>
    <x v="45"/>
    <x v="2"/>
    <x v="2"/>
  </r>
  <r>
    <x v="17"/>
    <x v="0"/>
    <x v="0"/>
    <x v="2"/>
    <x v="17"/>
    <x v="17"/>
    <x v="0"/>
    <x v="0"/>
    <x v="0"/>
    <x v="0"/>
    <x v="1"/>
    <x v="172"/>
    <x v="192"/>
    <x v="147"/>
    <x v="243"/>
    <x v="57"/>
    <x v="208"/>
    <x v="2"/>
    <x v="2"/>
  </r>
  <r>
    <x v="17"/>
    <x v="0"/>
    <x v="0"/>
    <x v="2"/>
    <x v="17"/>
    <x v="17"/>
    <x v="4"/>
    <x v="4"/>
    <x v="4"/>
    <x v="4"/>
    <x v="2"/>
    <x v="119"/>
    <x v="193"/>
    <x v="137"/>
    <x v="244"/>
    <x v="61"/>
    <x v="141"/>
    <x v="2"/>
    <x v="2"/>
  </r>
  <r>
    <x v="17"/>
    <x v="0"/>
    <x v="0"/>
    <x v="2"/>
    <x v="17"/>
    <x v="17"/>
    <x v="6"/>
    <x v="6"/>
    <x v="6"/>
    <x v="6"/>
    <x v="3"/>
    <x v="121"/>
    <x v="21"/>
    <x v="52"/>
    <x v="245"/>
    <x v="68"/>
    <x v="199"/>
    <x v="2"/>
    <x v="2"/>
  </r>
  <r>
    <x v="17"/>
    <x v="0"/>
    <x v="0"/>
    <x v="2"/>
    <x v="17"/>
    <x v="17"/>
    <x v="13"/>
    <x v="13"/>
    <x v="13"/>
    <x v="13"/>
    <x v="4"/>
    <x v="57"/>
    <x v="22"/>
    <x v="59"/>
    <x v="246"/>
    <x v="85"/>
    <x v="145"/>
    <x v="2"/>
    <x v="2"/>
  </r>
  <r>
    <x v="17"/>
    <x v="0"/>
    <x v="0"/>
    <x v="2"/>
    <x v="17"/>
    <x v="17"/>
    <x v="5"/>
    <x v="5"/>
    <x v="5"/>
    <x v="5"/>
    <x v="5"/>
    <x v="74"/>
    <x v="108"/>
    <x v="77"/>
    <x v="247"/>
    <x v="106"/>
    <x v="209"/>
    <x v="2"/>
    <x v="2"/>
  </r>
  <r>
    <x v="17"/>
    <x v="0"/>
    <x v="0"/>
    <x v="2"/>
    <x v="17"/>
    <x v="17"/>
    <x v="16"/>
    <x v="16"/>
    <x v="16"/>
    <x v="16"/>
    <x v="6"/>
    <x v="59"/>
    <x v="139"/>
    <x v="54"/>
    <x v="196"/>
    <x v="104"/>
    <x v="210"/>
    <x v="2"/>
    <x v="2"/>
  </r>
  <r>
    <x v="17"/>
    <x v="0"/>
    <x v="0"/>
    <x v="2"/>
    <x v="17"/>
    <x v="17"/>
    <x v="20"/>
    <x v="20"/>
    <x v="20"/>
    <x v="20"/>
    <x v="6"/>
    <x v="59"/>
    <x v="139"/>
    <x v="80"/>
    <x v="248"/>
    <x v="59"/>
    <x v="211"/>
    <x v="2"/>
    <x v="2"/>
  </r>
  <r>
    <x v="17"/>
    <x v="0"/>
    <x v="0"/>
    <x v="2"/>
    <x v="17"/>
    <x v="17"/>
    <x v="15"/>
    <x v="15"/>
    <x v="15"/>
    <x v="15"/>
    <x v="8"/>
    <x v="113"/>
    <x v="194"/>
    <x v="51"/>
    <x v="249"/>
    <x v="59"/>
    <x v="211"/>
    <x v="2"/>
    <x v="2"/>
  </r>
  <r>
    <x v="17"/>
    <x v="0"/>
    <x v="0"/>
    <x v="2"/>
    <x v="17"/>
    <x v="17"/>
    <x v="36"/>
    <x v="36"/>
    <x v="36"/>
    <x v="36"/>
    <x v="9"/>
    <x v="114"/>
    <x v="75"/>
    <x v="69"/>
    <x v="250"/>
    <x v="116"/>
    <x v="212"/>
    <x v="2"/>
    <x v="2"/>
  </r>
  <r>
    <x v="17"/>
    <x v="0"/>
    <x v="0"/>
    <x v="2"/>
    <x v="17"/>
    <x v="17"/>
    <x v="17"/>
    <x v="17"/>
    <x v="17"/>
    <x v="17"/>
    <x v="10"/>
    <x v="87"/>
    <x v="111"/>
    <x v="78"/>
    <x v="13"/>
    <x v="99"/>
    <x v="213"/>
    <x v="2"/>
    <x v="2"/>
  </r>
  <r>
    <x v="17"/>
    <x v="0"/>
    <x v="0"/>
    <x v="2"/>
    <x v="17"/>
    <x v="17"/>
    <x v="12"/>
    <x v="12"/>
    <x v="12"/>
    <x v="12"/>
    <x v="11"/>
    <x v="173"/>
    <x v="113"/>
    <x v="69"/>
    <x v="250"/>
    <x v="112"/>
    <x v="50"/>
    <x v="2"/>
    <x v="2"/>
  </r>
  <r>
    <x v="17"/>
    <x v="0"/>
    <x v="0"/>
    <x v="2"/>
    <x v="17"/>
    <x v="17"/>
    <x v="41"/>
    <x v="41"/>
    <x v="41"/>
    <x v="41"/>
    <x v="12"/>
    <x v="124"/>
    <x v="152"/>
    <x v="72"/>
    <x v="251"/>
    <x v="63"/>
    <x v="214"/>
    <x v="2"/>
    <x v="2"/>
  </r>
  <r>
    <x v="17"/>
    <x v="0"/>
    <x v="0"/>
    <x v="2"/>
    <x v="17"/>
    <x v="17"/>
    <x v="37"/>
    <x v="37"/>
    <x v="37"/>
    <x v="37"/>
    <x v="13"/>
    <x v="130"/>
    <x v="190"/>
    <x v="94"/>
    <x v="252"/>
    <x v="111"/>
    <x v="138"/>
    <x v="2"/>
    <x v="2"/>
  </r>
  <r>
    <x v="17"/>
    <x v="0"/>
    <x v="0"/>
    <x v="2"/>
    <x v="17"/>
    <x v="17"/>
    <x v="42"/>
    <x v="42"/>
    <x v="42"/>
    <x v="42"/>
    <x v="14"/>
    <x v="138"/>
    <x v="116"/>
    <x v="59"/>
    <x v="246"/>
    <x v="102"/>
    <x v="189"/>
    <x v="2"/>
    <x v="2"/>
  </r>
  <r>
    <x v="17"/>
    <x v="0"/>
    <x v="0"/>
    <x v="2"/>
    <x v="17"/>
    <x v="17"/>
    <x v="8"/>
    <x v="8"/>
    <x v="8"/>
    <x v="8"/>
    <x v="14"/>
    <x v="138"/>
    <x v="116"/>
    <x v="67"/>
    <x v="253"/>
    <x v="64"/>
    <x v="149"/>
    <x v="2"/>
    <x v="2"/>
  </r>
  <r>
    <x v="17"/>
    <x v="0"/>
    <x v="0"/>
    <x v="2"/>
    <x v="17"/>
    <x v="17"/>
    <x v="7"/>
    <x v="7"/>
    <x v="7"/>
    <x v="7"/>
    <x v="16"/>
    <x v="163"/>
    <x v="195"/>
    <x v="125"/>
    <x v="254"/>
    <x v="131"/>
    <x v="215"/>
    <x v="2"/>
    <x v="2"/>
  </r>
  <r>
    <x v="17"/>
    <x v="0"/>
    <x v="0"/>
    <x v="2"/>
    <x v="17"/>
    <x v="17"/>
    <x v="9"/>
    <x v="9"/>
    <x v="9"/>
    <x v="9"/>
    <x v="17"/>
    <x v="133"/>
    <x v="167"/>
    <x v="111"/>
    <x v="230"/>
    <x v="116"/>
    <x v="212"/>
    <x v="2"/>
    <x v="2"/>
  </r>
  <r>
    <x v="17"/>
    <x v="0"/>
    <x v="0"/>
    <x v="2"/>
    <x v="17"/>
    <x v="17"/>
    <x v="2"/>
    <x v="2"/>
    <x v="2"/>
    <x v="2"/>
    <x v="17"/>
    <x v="133"/>
    <x v="167"/>
    <x v="94"/>
    <x v="252"/>
    <x v="45"/>
    <x v="7"/>
    <x v="2"/>
    <x v="2"/>
  </r>
  <r>
    <x v="17"/>
    <x v="0"/>
    <x v="0"/>
    <x v="2"/>
    <x v="17"/>
    <x v="17"/>
    <x v="14"/>
    <x v="14"/>
    <x v="14"/>
    <x v="14"/>
    <x v="19"/>
    <x v="134"/>
    <x v="35"/>
    <x v="111"/>
    <x v="230"/>
    <x v="82"/>
    <x v="15"/>
    <x v="2"/>
    <x v="2"/>
  </r>
  <r>
    <x v="17"/>
    <x v="0"/>
    <x v="0"/>
    <x v="2"/>
    <x v="17"/>
    <x v="17"/>
    <x v="3"/>
    <x v="3"/>
    <x v="3"/>
    <x v="3"/>
    <x v="19"/>
    <x v="134"/>
    <x v="35"/>
    <x v="149"/>
    <x v="255"/>
    <x v="113"/>
    <x v="191"/>
    <x v="2"/>
    <x v="2"/>
  </r>
  <r>
    <x v="17"/>
    <x v="0"/>
    <x v="0"/>
    <x v="2"/>
    <x v="17"/>
    <x v="17"/>
    <x v="43"/>
    <x v="43"/>
    <x v="43"/>
    <x v="43"/>
    <x v="19"/>
    <x v="134"/>
    <x v="35"/>
    <x v="85"/>
    <x v="87"/>
    <x v="42"/>
    <x v="196"/>
    <x v="2"/>
    <x v="2"/>
  </r>
  <r>
    <x v="18"/>
    <x v="0"/>
    <x v="0"/>
    <x v="2"/>
    <x v="18"/>
    <x v="18"/>
    <x v="1"/>
    <x v="1"/>
    <x v="1"/>
    <x v="1"/>
    <x v="0"/>
    <x v="174"/>
    <x v="196"/>
    <x v="40"/>
    <x v="256"/>
    <x v="85"/>
    <x v="216"/>
    <x v="1"/>
    <x v="18"/>
  </r>
  <r>
    <x v="18"/>
    <x v="0"/>
    <x v="0"/>
    <x v="2"/>
    <x v="18"/>
    <x v="18"/>
    <x v="4"/>
    <x v="4"/>
    <x v="4"/>
    <x v="4"/>
    <x v="1"/>
    <x v="154"/>
    <x v="197"/>
    <x v="150"/>
    <x v="257"/>
    <x v="65"/>
    <x v="59"/>
    <x v="1"/>
    <x v="18"/>
  </r>
  <r>
    <x v="18"/>
    <x v="0"/>
    <x v="0"/>
    <x v="2"/>
    <x v="18"/>
    <x v="18"/>
    <x v="0"/>
    <x v="0"/>
    <x v="0"/>
    <x v="0"/>
    <x v="2"/>
    <x v="175"/>
    <x v="198"/>
    <x v="67"/>
    <x v="258"/>
    <x v="27"/>
    <x v="217"/>
    <x v="2"/>
    <x v="2"/>
  </r>
  <r>
    <x v="18"/>
    <x v="0"/>
    <x v="0"/>
    <x v="2"/>
    <x v="18"/>
    <x v="18"/>
    <x v="9"/>
    <x v="9"/>
    <x v="9"/>
    <x v="9"/>
    <x v="3"/>
    <x v="150"/>
    <x v="199"/>
    <x v="111"/>
    <x v="259"/>
    <x v="93"/>
    <x v="218"/>
    <x v="1"/>
    <x v="18"/>
  </r>
  <r>
    <x v="18"/>
    <x v="0"/>
    <x v="0"/>
    <x v="2"/>
    <x v="18"/>
    <x v="18"/>
    <x v="5"/>
    <x v="5"/>
    <x v="5"/>
    <x v="5"/>
    <x v="4"/>
    <x v="176"/>
    <x v="200"/>
    <x v="151"/>
    <x v="260"/>
    <x v="98"/>
    <x v="37"/>
    <x v="2"/>
    <x v="2"/>
  </r>
  <r>
    <x v="18"/>
    <x v="0"/>
    <x v="0"/>
    <x v="2"/>
    <x v="18"/>
    <x v="18"/>
    <x v="3"/>
    <x v="3"/>
    <x v="3"/>
    <x v="3"/>
    <x v="5"/>
    <x v="49"/>
    <x v="201"/>
    <x v="65"/>
    <x v="187"/>
    <x v="57"/>
    <x v="56"/>
    <x v="2"/>
    <x v="2"/>
  </r>
  <r>
    <x v="18"/>
    <x v="0"/>
    <x v="0"/>
    <x v="2"/>
    <x v="18"/>
    <x v="18"/>
    <x v="18"/>
    <x v="18"/>
    <x v="18"/>
    <x v="18"/>
    <x v="6"/>
    <x v="53"/>
    <x v="75"/>
    <x v="142"/>
    <x v="261"/>
    <x v="80"/>
    <x v="219"/>
    <x v="2"/>
    <x v="2"/>
  </r>
  <r>
    <x v="18"/>
    <x v="0"/>
    <x v="0"/>
    <x v="2"/>
    <x v="18"/>
    <x v="18"/>
    <x v="6"/>
    <x v="6"/>
    <x v="6"/>
    <x v="6"/>
    <x v="7"/>
    <x v="157"/>
    <x v="150"/>
    <x v="145"/>
    <x v="26"/>
    <x v="108"/>
    <x v="220"/>
    <x v="2"/>
    <x v="2"/>
  </r>
  <r>
    <x v="18"/>
    <x v="0"/>
    <x v="0"/>
    <x v="2"/>
    <x v="18"/>
    <x v="18"/>
    <x v="37"/>
    <x v="37"/>
    <x v="37"/>
    <x v="37"/>
    <x v="8"/>
    <x v="148"/>
    <x v="63"/>
    <x v="29"/>
    <x v="262"/>
    <x v="116"/>
    <x v="4"/>
    <x v="2"/>
    <x v="2"/>
  </r>
  <r>
    <x v="18"/>
    <x v="0"/>
    <x v="0"/>
    <x v="2"/>
    <x v="18"/>
    <x v="18"/>
    <x v="8"/>
    <x v="8"/>
    <x v="8"/>
    <x v="8"/>
    <x v="9"/>
    <x v="159"/>
    <x v="202"/>
    <x v="152"/>
    <x v="263"/>
    <x v="73"/>
    <x v="156"/>
    <x v="2"/>
    <x v="2"/>
  </r>
  <r>
    <x v="18"/>
    <x v="0"/>
    <x v="0"/>
    <x v="2"/>
    <x v="18"/>
    <x v="18"/>
    <x v="12"/>
    <x v="12"/>
    <x v="12"/>
    <x v="12"/>
    <x v="10"/>
    <x v="83"/>
    <x v="48"/>
    <x v="94"/>
    <x v="31"/>
    <x v="79"/>
    <x v="221"/>
    <x v="2"/>
    <x v="2"/>
  </r>
  <r>
    <x v="18"/>
    <x v="0"/>
    <x v="0"/>
    <x v="2"/>
    <x v="18"/>
    <x v="18"/>
    <x v="44"/>
    <x v="44"/>
    <x v="44"/>
    <x v="44"/>
    <x v="11"/>
    <x v="54"/>
    <x v="154"/>
    <x v="47"/>
    <x v="14"/>
    <x v="65"/>
    <x v="59"/>
    <x v="2"/>
    <x v="2"/>
  </r>
  <r>
    <x v="18"/>
    <x v="0"/>
    <x v="0"/>
    <x v="2"/>
    <x v="18"/>
    <x v="18"/>
    <x v="32"/>
    <x v="32"/>
    <x v="32"/>
    <x v="32"/>
    <x v="12"/>
    <x v="71"/>
    <x v="142"/>
    <x v="78"/>
    <x v="54"/>
    <x v="132"/>
    <x v="222"/>
    <x v="2"/>
    <x v="2"/>
  </r>
  <r>
    <x v="18"/>
    <x v="0"/>
    <x v="0"/>
    <x v="2"/>
    <x v="18"/>
    <x v="18"/>
    <x v="20"/>
    <x v="20"/>
    <x v="20"/>
    <x v="20"/>
    <x v="13"/>
    <x v="55"/>
    <x v="49"/>
    <x v="57"/>
    <x v="70"/>
    <x v="120"/>
    <x v="223"/>
    <x v="2"/>
    <x v="2"/>
  </r>
  <r>
    <x v="18"/>
    <x v="0"/>
    <x v="0"/>
    <x v="2"/>
    <x v="18"/>
    <x v="18"/>
    <x v="14"/>
    <x v="14"/>
    <x v="14"/>
    <x v="14"/>
    <x v="13"/>
    <x v="55"/>
    <x v="49"/>
    <x v="78"/>
    <x v="54"/>
    <x v="53"/>
    <x v="115"/>
    <x v="2"/>
    <x v="2"/>
  </r>
  <r>
    <x v="18"/>
    <x v="0"/>
    <x v="0"/>
    <x v="2"/>
    <x v="18"/>
    <x v="18"/>
    <x v="24"/>
    <x v="24"/>
    <x v="24"/>
    <x v="24"/>
    <x v="13"/>
    <x v="55"/>
    <x v="49"/>
    <x v="144"/>
    <x v="98"/>
    <x v="68"/>
    <x v="62"/>
    <x v="2"/>
    <x v="2"/>
  </r>
  <r>
    <x v="18"/>
    <x v="0"/>
    <x v="0"/>
    <x v="2"/>
    <x v="18"/>
    <x v="18"/>
    <x v="21"/>
    <x v="21"/>
    <x v="21"/>
    <x v="21"/>
    <x v="16"/>
    <x v="177"/>
    <x v="30"/>
    <x v="126"/>
    <x v="264"/>
    <x v="124"/>
    <x v="106"/>
    <x v="2"/>
    <x v="2"/>
  </r>
  <r>
    <x v="18"/>
    <x v="0"/>
    <x v="0"/>
    <x v="2"/>
    <x v="18"/>
    <x v="18"/>
    <x v="10"/>
    <x v="10"/>
    <x v="10"/>
    <x v="10"/>
    <x v="17"/>
    <x v="72"/>
    <x v="100"/>
    <x v="69"/>
    <x v="265"/>
    <x v="55"/>
    <x v="121"/>
    <x v="2"/>
    <x v="2"/>
  </r>
  <r>
    <x v="18"/>
    <x v="0"/>
    <x v="0"/>
    <x v="2"/>
    <x v="18"/>
    <x v="18"/>
    <x v="2"/>
    <x v="2"/>
    <x v="2"/>
    <x v="2"/>
    <x v="18"/>
    <x v="121"/>
    <x v="65"/>
    <x v="29"/>
    <x v="262"/>
    <x v="107"/>
    <x v="25"/>
    <x v="2"/>
    <x v="2"/>
  </r>
  <r>
    <x v="18"/>
    <x v="0"/>
    <x v="0"/>
    <x v="2"/>
    <x v="18"/>
    <x v="18"/>
    <x v="28"/>
    <x v="28"/>
    <x v="28"/>
    <x v="28"/>
    <x v="19"/>
    <x v="58"/>
    <x v="203"/>
    <x v="53"/>
    <x v="266"/>
    <x v="91"/>
    <x v="33"/>
    <x v="0"/>
    <x v="15"/>
  </r>
  <r>
    <x v="19"/>
    <x v="0"/>
    <x v="0"/>
    <x v="2"/>
    <x v="19"/>
    <x v="19"/>
    <x v="1"/>
    <x v="1"/>
    <x v="1"/>
    <x v="1"/>
    <x v="0"/>
    <x v="46"/>
    <x v="204"/>
    <x v="48"/>
    <x v="267"/>
    <x v="57"/>
    <x v="40"/>
    <x v="2"/>
    <x v="2"/>
  </r>
  <r>
    <x v="19"/>
    <x v="0"/>
    <x v="0"/>
    <x v="2"/>
    <x v="19"/>
    <x v="19"/>
    <x v="9"/>
    <x v="9"/>
    <x v="9"/>
    <x v="9"/>
    <x v="1"/>
    <x v="178"/>
    <x v="120"/>
    <x v="53"/>
    <x v="268"/>
    <x v="133"/>
    <x v="167"/>
    <x v="2"/>
    <x v="2"/>
  </r>
  <r>
    <x v="19"/>
    <x v="0"/>
    <x v="0"/>
    <x v="2"/>
    <x v="19"/>
    <x v="19"/>
    <x v="19"/>
    <x v="19"/>
    <x v="19"/>
    <x v="19"/>
    <x v="2"/>
    <x v="48"/>
    <x v="2"/>
    <x v="130"/>
    <x v="130"/>
    <x v="134"/>
    <x v="224"/>
    <x v="2"/>
    <x v="2"/>
  </r>
  <r>
    <x v="19"/>
    <x v="0"/>
    <x v="0"/>
    <x v="2"/>
    <x v="19"/>
    <x v="19"/>
    <x v="4"/>
    <x v="4"/>
    <x v="4"/>
    <x v="4"/>
    <x v="3"/>
    <x v="155"/>
    <x v="186"/>
    <x v="52"/>
    <x v="269"/>
    <x v="56"/>
    <x v="61"/>
    <x v="2"/>
    <x v="2"/>
  </r>
  <r>
    <x v="19"/>
    <x v="0"/>
    <x v="0"/>
    <x v="2"/>
    <x v="19"/>
    <x v="19"/>
    <x v="0"/>
    <x v="0"/>
    <x v="0"/>
    <x v="0"/>
    <x v="4"/>
    <x v="78"/>
    <x v="205"/>
    <x v="84"/>
    <x v="258"/>
    <x v="135"/>
    <x v="225"/>
    <x v="2"/>
    <x v="2"/>
  </r>
  <r>
    <x v="19"/>
    <x v="0"/>
    <x v="0"/>
    <x v="2"/>
    <x v="19"/>
    <x v="19"/>
    <x v="41"/>
    <x v="41"/>
    <x v="41"/>
    <x v="41"/>
    <x v="5"/>
    <x v="53"/>
    <x v="25"/>
    <x v="94"/>
    <x v="270"/>
    <x v="54"/>
    <x v="89"/>
    <x v="2"/>
    <x v="2"/>
  </r>
  <r>
    <x v="19"/>
    <x v="0"/>
    <x v="0"/>
    <x v="2"/>
    <x v="19"/>
    <x v="19"/>
    <x v="5"/>
    <x v="5"/>
    <x v="5"/>
    <x v="5"/>
    <x v="6"/>
    <x v="81"/>
    <x v="202"/>
    <x v="76"/>
    <x v="106"/>
    <x v="109"/>
    <x v="226"/>
    <x v="2"/>
    <x v="2"/>
  </r>
  <r>
    <x v="19"/>
    <x v="0"/>
    <x v="0"/>
    <x v="2"/>
    <x v="19"/>
    <x v="19"/>
    <x v="20"/>
    <x v="20"/>
    <x v="20"/>
    <x v="20"/>
    <x v="7"/>
    <x v="71"/>
    <x v="99"/>
    <x v="47"/>
    <x v="36"/>
    <x v="53"/>
    <x v="180"/>
    <x v="2"/>
    <x v="2"/>
  </r>
  <r>
    <x v="19"/>
    <x v="0"/>
    <x v="0"/>
    <x v="2"/>
    <x v="19"/>
    <x v="19"/>
    <x v="11"/>
    <x v="11"/>
    <x v="11"/>
    <x v="11"/>
    <x v="8"/>
    <x v="55"/>
    <x v="154"/>
    <x v="57"/>
    <x v="128"/>
    <x v="123"/>
    <x v="116"/>
    <x v="1"/>
    <x v="19"/>
  </r>
  <r>
    <x v="19"/>
    <x v="0"/>
    <x v="0"/>
    <x v="2"/>
    <x v="19"/>
    <x v="19"/>
    <x v="38"/>
    <x v="38"/>
    <x v="38"/>
    <x v="38"/>
    <x v="9"/>
    <x v="177"/>
    <x v="190"/>
    <x v="54"/>
    <x v="271"/>
    <x v="54"/>
    <x v="89"/>
    <x v="2"/>
    <x v="2"/>
  </r>
  <r>
    <x v="19"/>
    <x v="0"/>
    <x v="0"/>
    <x v="2"/>
    <x v="19"/>
    <x v="19"/>
    <x v="13"/>
    <x v="13"/>
    <x v="13"/>
    <x v="13"/>
    <x v="10"/>
    <x v="72"/>
    <x v="206"/>
    <x v="55"/>
    <x v="171"/>
    <x v="103"/>
    <x v="189"/>
    <x v="2"/>
    <x v="2"/>
  </r>
  <r>
    <x v="19"/>
    <x v="0"/>
    <x v="0"/>
    <x v="2"/>
    <x v="19"/>
    <x v="19"/>
    <x v="17"/>
    <x v="17"/>
    <x v="17"/>
    <x v="17"/>
    <x v="11"/>
    <x v="137"/>
    <x v="13"/>
    <x v="57"/>
    <x v="128"/>
    <x v="70"/>
    <x v="94"/>
    <x v="2"/>
    <x v="2"/>
  </r>
  <r>
    <x v="19"/>
    <x v="0"/>
    <x v="0"/>
    <x v="2"/>
    <x v="19"/>
    <x v="19"/>
    <x v="3"/>
    <x v="3"/>
    <x v="3"/>
    <x v="3"/>
    <x v="11"/>
    <x v="137"/>
    <x v="13"/>
    <x v="68"/>
    <x v="138"/>
    <x v="41"/>
    <x v="209"/>
    <x v="2"/>
    <x v="2"/>
  </r>
  <r>
    <x v="19"/>
    <x v="0"/>
    <x v="0"/>
    <x v="2"/>
    <x v="19"/>
    <x v="19"/>
    <x v="39"/>
    <x v="39"/>
    <x v="39"/>
    <x v="39"/>
    <x v="13"/>
    <x v="73"/>
    <x v="124"/>
    <x v="126"/>
    <x v="72"/>
    <x v="73"/>
    <x v="56"/>
    <x v="2"/>
    <x v="2"/>
  </r>
  <r>
    <x v="19"/>
    <x v="0"/>
    <x v="0"/>
    <x v="2"/>
    <x v="19"/>
    <x v="19"/>
    <x v="35"/>
    <x v="35"/>
    <x v="35"/>
    <x v="35"/>
    <x v="14"/>
    <x v="85"/>
    <x v="203"/>
    <x v="55"/>
    <x v="171"/>
    <x v="55"/>
    <x v="164"/>
    <x v="2"/>
    <x v="2"/>
  </r>
  <r>
    <x v="19"/>
    <x v="0"/>
    <x v="0"/>
    <x v="2"/>
    <x v="19"/>
    <x v="19"/>
    <x v="8"/>
    <x v="8"/>
    <x v="8"/>
    <x v="8"/>
    <x v="15"/>
    <x v="112"/>
    <x v="50"/>
    <x v="116"/>
    <x v="272"/>
    <x v="42"/>
    <x v="193"/>
    <x v="2"/>
    <x v="2"/>
  </r>
  <r>
    <x v="19"/>
    <x v="0"/>
    <x v="0"/>
    <x v="2"/>
    <x v="19"/>
    <x v="19"/>
    <x v="6"/>
    <x v="6"/>
    <x v="6"/>
    <x v="6"/>
    <x v="16"/>
    <x v="114"/>
    <x v="51"/>
    <x v="74"/>
    <x v="273"/>
    <x v="107"/>
    <x v="227"/>
    <x v="2"/>
    <x v="2"/>
  </r>
  <r>
    <x v="19"/>
    <x v="0"/>
    <x v="0"/>
    <x v="2"/>
    <x v="19"/>
    <x v="19"/>
    <x v="36"/>
    <x v="36"/>
    <x v="36"/>
    <x v="36"/>
    <x v="17"/>
    <x v="86"/>
    <x v="207"/>
    <x v="59"/>
    <x v="144"/>
    <x v="43"/>
    <x v="228"/>
    <x v="2"/>
    <x v="2"/>
  </r>
  <r>
    <x v="19"/>
    <x v="0"/>
    <x v="0"/>
    <x v="2"/>
    <x v="19"/>
    <x v="19"/>
    <x v="12"/>
    <x v="12"/>
    <x v="12"/>
    <x v="12"/>
    <x v="17"/>
    <x v="86"/>
    <x v="207"/>
    <x v="108"/>
    <x v="274"/>
    <x v="117"/>
    <x v="112"/>
    <x v="2"/>
    <x v="2"/>
  </r>
  <r>
    <x v="19"/>
    <x v="0"/>
    <x v="0"/>
    <x v="2"/>
    <x v="19"/>
    <x v="19"/>
    <x v="15"/>
    <x v="15"/>
    <x v="15"/>
    <x v="15"/>
    <x v="19"/>
    <x v="128"/>
    <x v="18"/>
    <x v="84"/>
    <x v="258"/>
    <x v="49"/>
    <x v="229"/>
    <x v="2"/>
    <x v="2"/>
  </r>
  <r>
    <x v="20"/>
    <x v="0"/>
    <x v="0"/>
    <x v="1"/>
    <x v="20"/>
    <x v="20"/>
    <x v="0"/>
    <x v="0"/>
    <x v="0"/>
    <x v="0"/>
    <x v="0"/>
    <x v="179"/>
    <x v="208"/>
    <x v="153"/>
    <x v="275"/>
    <x v="136"/>
    <x v="230"/>
    <x v="2"/>
    <x v="2"/>
  </r>
  <r>
    <x v="20"/>
    <x v="0"/>
    <x v="0"/>
    <x v="1"/>
    <x v="20"/>
    <x v="20"/>
    <x v="2"/>
    <x v="2"/>
    <x v="2"/>
    <x v="2"/>
    <x v="1"/>
    <x v="180"/>
    <x v="209"/>
    <x v="154"/>
    <x v="276"/>
    <x v="137"/>
    <x v="22"/>
    <x v="2"/>
    <x v="2"/>
  </r>
  <r>
    <x v="20"/>
    <x v="0"/>
    <x v="0"/>
    <x v="1"/>
    <x v="20"/>
    <x v="20"/>
    <x v="1"/>
    <x v="1"/>
    <x v="1"/>
    <x v="1"/>
    <x v="2"/>
    <x v="181"/>
    <x v="210"/>
    <x v="155"/>
    <x v="277"/>
    <x v="138"/>
    <x v="231"/>
    <x v="2"/>
    <x v="2"/>
  </r>
  <r>
    <x v="20"/>
    <x v="0"/>
    <x v="0"/>
    <x v="1"/>
    <x v="20"/>
    <x v="20"/>
    <x v="3"/>
    <x v="3"/>
    <x v="3"/>
    <x v="3"/>
    <x v="3"/>
    <x v="182"/>
    <x v="85"/>
    <x v="156"/>
    <x v="278"/>
    <x v="139"/>
    <x v="12"/>
    <x v="2"/>
    <x v="2"/>
  </r>
  <r>
    <x v="20"/>
    <x v="0"/>
    <x v="0"/>
    <x v="1"/>
    <x v="20"/>
    <x v="20"/>
    <x v="9"/>
    <x v="9"/>
    <x v="9"/>
    <x v="9"/>
    <x v="4"/>
    <x v="183"/>
    <x v="4"/>
    <x v="142"/>
    <x v="37"/>
    <x v="140"/>
    <x v="232"/>
    <x v="1"/>
    <x v="20"/>
  </r>
  <r>
    <x v="20"/>
    <x v="0"/>
    <x v="0"/>
    <x v="1"/>
    <x v="20"/>
    <x v="20"/>
    <x v="6"/>
    <x v="6"/>
    <x v="6"/>
    <x v="6"/>
    <x v="5"/>
    <x v="184"/>
    <x v="139"/>
    <x v="157"/>
    <x v="279"/>
    <x v="54"/>
    <x v="233"/>
    <x v="2"/>
    <x v="2"/>
  </r>
  <r>
    <x v="20"/>
    <x v="0"/>
    <x v="0"/>
    <x v="1"/>
    <x v="20"/>
    <x v="20"/>
    <x v="5"/>
    <x v="5"/>
    <x v="5"/>
    <x v="5"/>
    <x v="6"/>
    <x v="185"/>
    <x v="26"/>
    <x v="158"/>
    <x v="280"/>
    <x v="141"/>
    <x v="95"/>
    <x v="2"/>
    <x v="2"/>
  </r>
  <r>
    <x v="20"/>
    <x v="0"/>
    <x v="0"/>
    <x v="1"/>
    <x v="20"/>
    <x v="20"/>
    <x v="8"/>
    <x v="8"/>
    <x v="8"/>
    <x v="8"/>
    <x v="7"/>
    <x v="186"/>
    <x v="28"/>
    <x v="159"/>
    <x v="281"/>
    <x v="142"/>
    <x v="111"/>
    <x v="2"/>
    <x v="2"/>
  </r>
  <r>
    <x v="20"/>
    <x v="0"/>
    <x v="0"/>
    <x v="1"/>
    <x v="20"/>
    <x v="20"/>
    <x v="4"/>
    <x v="4"/>
    <x v="4"/>
    <x v="4"/>
    <x v="8"/>
    <x v="187"/>
    <x v="133"/>
    <x v="160"/>
    <x v="282"/>
    <x v="143"/>
    <x v="193"/>
    <x v="9"/>
    <x v="21"/>
  </r>
  <r>
    <x v="20"/>
    <x v="0"/>
    <x v="0"/>
    <x v="1"/>
    <x v="20"/>
    <x v="20"/>
    <x v="12"/>
    <x v="12"/>
    <x v="12"/>
    <x v="12"/>
    <x v="9"/>
    <x v="188"/>
    <x v="172"/>
    <x v="161"/>
    <x v="283"/>
    <x v="144"/>
    <x v="19"/>
    <x v="2"/>
    <x v="2"/>
  </r>
  <r>
    <x v="20"/>
    <x v="0"/>
    <x v="0"/>
    <x v="1"/>
    <x v="20"/>
    <x v="20"/>
    <x v="7"/>
    <x v="7"/>
    <x v="7"/>
    <x v="7"/>
    <x v="10"/>
    <x v="189"/>
    <x v="152"/>
    <x v="162"/>
    <x v="284"/>
    <x v="60"/>
    <x v="72"/>
    <x v="2"/>
    <x v="2"/>
  </r>
  <r>
    <x v="20"/>
    <x v="0"/>
    <x v="0"/>
    <x v="1"/>
    <x v="20"/>
    <x v="20"/>
    <x v="10"/>
    <x v="10"/>
    <x v="10"/>
    <x v="10"/>
    <x v="11"/>
    <x v="190"/>
    <x v="211"/>
    <x v="163"/>
    <x v="261"/>
    <x v="144"/>
    <x v="19"/>
    <x v="2"/>
    <x v="2"/>
  </r>
  <r>
    <x v="20"/>
    <x v="0"/>
    <x v="0"/>
    <x v="1"/>
    <x v="20"/>
    <x v="20"/>
    <x v="14"/>
    <x v="14"/>
    <x v="14"/>
    <x v="14"/>
    <x v="12"/>
    <x v="191"/>
    <x v="114"/>
    <x v="133"/>
    <x v="194"/>
    <x v="145"/>
    <x v="234"/>
    <x v="2"/>
    <x v="2"/>
  </r>
  <r>
    <x v="20"/>
    <x v="0"/>
    <x v="0"/>
    <x v="1"/>
    <x v="20"/>
    <x v="20"/>
    <x v="13"/>
    <x v="13"/>
    <x v="13"/>
    <x v="13"/>
    <x v="13"/>
    <x v="192"/>
    <x v="212"/>
    <x v="146"/>
    <x v="268"/>
    <x v="146"/>
    <x v="202"/>
    <x v="2"/>
    <x v="2"/>
  </r>
  <r>
    <x v="20"/>
    <x v="0"/>
    <x v="0"/>
    <x v="1"/>
    <x v="20"/>
    <x v="20"/>
    <x v="15"/>
    <x v="15"/>
    <x v="15"/>
    <x v="15"/>
    <x v="14"/>
    <x v="193"/>
    <x v="135"/>
    <x v="93"/>
    <x v="16"/>
    <x v="147"/>
    <x v="109"/>
    <x v="2"/>
    <x v="2"/>
  </r>
  <r>
    <x v="20"/>
    <x v="0"/>
    <x v="0"/>
    <x v="1"/>
    <x v="20"/>
    <x v="20"/>
    <x v="24"/>
    <x v="24"/>
    <x v="24"/>
    <x v="24"/>
    <x v="15"/>
    <x v="194"/>
    <x v="207"/>
    <x v="159"/>
    <x v="281"/>
    <x v="108"/>
    <x v="235"/>
    <x v="2"/>
    <x v="2"/>
  </r>
  <r>
    <x v="20"/>
    <x v="0"/>
    <x v="0"/>
    <x v="1"/>
    <x v="20"/>
    <x v="20"/>
    <x v="17"/>
    <x v="17"/>
    <x v="17"/>
    <x v="17"/>
    <x v="16"/>
    <x v="195"/>
    <x v="18"/>
    <x v="120"/>
    <x v="13"/>
    <x v="148"/>
    <x v="8"/>
    <x v="2"/>
    <x v="2"/>
  </r>
  <r>
    <x v="20"/>
    <x v="0"/>
    <x v="0"/>
    <x v="1"/>
    <x v="20"/>
    <x v="20"/>
    <x v="22"/>
    <x v="22"/>
    <x v="22"/>
    <x v="22"/>
    <x v="17"/>
    <x v="196"/>
    <x v="53"/>
    <x v="145"/>
    <x v="61"/>
    <x v="149"/>
    <x v="181"/>
    <x v="2"/>
    <x v="2"/>
  </r>
  <r>
    <x v="20"/>
    <x v="0"/>
    <x v="0"/>
    <x v="1"/>
    <x v="20"/>
    <x v="20"/>
    <x v="20"/>
    <x v="20"/>
    <x v="20"/>
    <x v="20"/>
    <x v="18"/>
    <x v="197"/>
    <x v="213"/>
    <x v="124"/>
    <x v="56"/>
    <x v="150"/>
    <x v="111"/>
    <x v="2"/>
    <x v="2"/>
  </r>
  <r>
    <x v="20"/>
    <x v="0"/>
    <x v="0"/>
    <x v="1"/>
    <x v="20"/>
    <x v="20"/>
    <x v="21"/>
    <x v="21"/>
    <x v="21"/>
    <x v="21"/>
    <x v="19"/>
    <x v="198"/>
    <x v="214"/>
    <x v="77"/>
    <x v="285"/>
    <x v="151"/>
    <x v="10"/>
    <x v="2"/>
    <x v="2"/>
  </r>
  <r>
    <x v="21"/>
    <x v="0"/>
    <x v="0"/>
    <x v="2"/>
    <x v="21"/>
    <x v="21"/>
    <x v="0"/>
    <x v="0"/>
    <x v="0"/>
    <x v="0"/>
    <x v="0"/>
    <x v="193"/>
    <x v="215"/>
    <x v="139"/>
    <x v="286"/>
    <x v="152"/>
    <x v="83"/>
    <x v="2"/>
    <x v="2"/>
  </r>
  <r>
    <x v="21"/>
    <x v="0"/>
    <x v="0"/>
    <x v="2"/>
    <x v="21"/>
    <x v="21"/>
    <x v="2"/>
    <x v="2"/>
    <x v="2"/>
    <x v="2"/>
    <x v="1"/>
    <x v="199"/>
    <x v="216"/>
    <x v="164"/>
    <x v="287"/>
    <x v="105"/>
    <x v="209"/>
    <x v="2"/>
    <x v="2"/>
  </r>
  <r>
    <x v="21"/>
    <x v="0"/>
    <x v="0"/>
    <x v="2"/>
    <x v="21"/>
    <x v="21"/>
    <x v="3"/>
    <x v="3"/>
    <x v="3"/>
    <x v="3"/>
    <x v="2"/>
    <x v="200"/>
    <x v="120"/>
    <x v="42"/>
    <x v="38"/>
    <x v="57"/>
    <x v="113"/>
    <x v="2"/>
    <x v="2"/>
  </r>
  <r>
    <x v="21"/>
    <x v="0"/>
    <x v="0"/>
    <x v="2"/>
    <x v="21"/>
    <x v="21"/>
    <x v="1"/>
    <x v="1"/>
    <x v="1"/>
    <x v="1"/>
    <x v="3"/>
    <x v="106"/>
    <x v="217"/>
    <x v="98"/>
    <x v="288"/>
    <x v="129"/>
    <x v="226"/>
    <x v="2"/>
    <x v="2"/>
  </r>
  <r>
    <x v="21"/>
    <x v="0"/>
    <x v="0"/>
    <x v="2"/>
    <x v="21"/>
    <x v="21"/>
    <x v="6"/>
    <x v="6"/>
    <x v="6"/>
    <x v="6"/>
    <x v="4"/>
    <x v="176"/>
    <x v="218"/>
    <x v="140"/>
    <x v="289"/>
    <x v="113"/>
    <x v="236"/>
    <x v="2"/>
    <x v="2"/>
  </r>
  <r>
    <x v="21"/>
    <x v="0"/>
    <x v="0"/>
    <x v="2"/>
    <x v="21"/>
    <x v="21"/>
    <x v="8"/>
    <x v="8"/>
    <x v="8"/>
    <x v="8"/>
    <x v="5"/>
    <x v="201"/>
    <x v="139"/>
    <x v="107"/>
    <x v="254"/>
    <x v="80"/>
    <x v="137"/>
    <x v="2"/>
    <x v="2"/>
  </r>
  <r>
    <x v="21"/>
    <x v="0"/>
    <x v="0"/>
    <x v="2"/>
    <x v="21"/>
    <x v="21"/>
    <x v="10"/>
    <x v="10"/>
    <x v="10"/>
    <x v="10"/>
    <x v="6"/>
    <x v="107"/>
    <x v="149"/>
    <x v="65"/>
    <x v="290"/>
    <x v="120"/>
    <x v="237"/>
    <x v="2"/>
    <x v="2"/>
  </r>
  <r>
    <x v="21"/>
    <x v="0"/>
    <x v="0"/>
    <x v="2"/>
    <x v="21"/>
    <x v="21"/>
    <x v="13"/>
    <x v="13"/>
    <x v="13"/>
    <x v="13"/>
    <x v="7"/>
    <x v="146"/>
    <x v="45"/>
    <x v="57"/>
    <x v="28"/>
    <x v="153"/>
    <x v="238"/>
    <x v="2"/>
    <x v="2"/>
  </r>
  <r>
    <x v="21"/>
    <x v="0"/>
    <x v="0"/>
    <x v="2"/>
    <x v="21"/>
    <x v="21"/>
    <x v="7"/>
    <x v="7"/>
    <x v="7"/>
    <x v="7"/>
    <x v="8"/>
    <x v="127"/>
    <x v="48"/>
    <x v="165"/>
    <x v="291"/>
    <x v="68"/>
    <x v="154"/>
    <x v="2"/>
    <x v="2"/>
  </r>
  <r>
    <x v="21"/>
    <x v="0"/>
    <x v="0"/>
    <x v="2"/>
    <x v="21"/>
    <x v="21"/>
    <x v="15"/>
    <x v="15"/>
    <x v="15"/>
    <x v="15"/>
    <x v="9"/>
    <x v="65"/>
    <x v="115"/>
    <x v="55"/>
    <x v="292"/>
    <x v="135"/>
    <x v="114"/>
    <x v="2"/>
    <x v="2"/>
  </r>
  <r>
    <x v="21"/>
    <x v="0"/>
    <x v="0"/>
    <x v="2"/>
    <x v="21"/>
    <x v="21"/>
    <x v="34"/>
    <x v="34"/>
    <x v="34"/>
    <x v="34"/>
    <x v="10"/>
    <x v="202"/>
    <x v="167"/>
    <x v="103"/>
    <x v="8"/>
    <x v="61"/>
    <x v="24"/>
    <x v="2"/>
    <x v="2"/>
  </r>
  <r>
    <x v="21"/>
    <x v="0"/>
    <x v="0"/>
    <x v="2"/>
    <x v="21"/>
    <x v="21"/>
    <x v="5"/>
    <x v="5"/>
    <x v="5"/>
    <x v="5"/>
    <x v="10"/>
    <x v="202"/>
    <x v="167"/>
    <x v="49"/>
    <x v="143"/>
    <x v="101"/>
    <x v="239"/>
    <x v="2"/>
    <x v="2"/>
  </r>
  <r>
    <x v="21"/>
    <x v="0"/>
    <x v="0"/>
    <x v="2"/>
    <x v="21"/>
    <x v="21"/>
    <x v="17"/>
    <x v="17"/>
    <x v="17"/>
    <x v="17"/>
    <x v="12"/>
    <x v="81"/>
    <x v="35"/>
    <x v="57"/>
    <x v="28"/>
    <x v="154"/>
    <x v="240"/>
    <x v="2"/>
    <x v="2"/>
  </r>
  <r>
    <x v="21"/>
    <x v="0"/>
    <x v="0"/>
    <x v="2"/>
    <x v="21"/>
    <x v="21"/>
    <x v="14"/>
    <x v="14"/>
    <x v="14"/>
    <x v="14"/>
    <x v="12"/>
    <x v="81"/>
    <x v="35"/>
    <x v="96"/>
    <x v="220"/>
    <x v="87"/>
    <x v="241"/>
    <x v="2"/>
    <x v="2"/>
  </r>
  <r>
    <x v="21"/>
    <x v="0"/>
    <x v="0"/>
    <x v="2"/>
    <x v="21"/>
    <x v="21"/>
    <x v="27"/>
    <x v="27"/>
    <x v="27"/>
    <x v="27"/>
    <x v="14"/>
    <x v="152"/>
    <x v="143"/>
    <x v="152"/>
    <x v="293"/>
    <x v="43"/>
    <x v="79"/>
    <x v="2"/>
    <x v="2"/>
  </r>
  <r>
    <x v="21"/>
    <x v="0"/>
    <x v="0"/>
    <x v="2"/>
    <x v="21"/>
    <x v="21"/>
    <x v="9"/>
    <x v="9"/>
    <x v="9"/>
    <x v="9"/>
    <x v="15"/>
    <x v="84"/>
    <x v="219"/>
    <x v="55"/>
    <x v="292"/>
    <x v="123"/>
    <x v="50"/>
    <x v="1"/>
    <x v="15"/>
  </r>
  <r>
    <x v="21"/>
    <x v="0"/>
    <x v="0"/>
    <x v="2"/>
    <x v="21"/>
    <x v="21"/>
    <x v="11"/>
    <x v="11"/>
    <x v="11"/>
    <x v="11"/>
    <x v="16"/>
    <x v="55"/>
    <x v="220"/>
    <x v="67"/>
    <x v="204"/>
    <x v="124"/>
    <x v="185"/>
    <x v="2"/>
    <x v="2"/>
  </r>
  <r>
    <x v="21"/>
    <x v="0"/>
    <x v="0"/>
    <x v="2"/>
    <x v="21"/>
    <x v="21"/>
    <x v="45"/>
    <x v="45"/>
    <x v="45"/>
    <x v="45"/>
    <x v="17"/>
    <x v="109"/>
    <x v="213"/>
    <x v="74"/>
    <x v="294"/>
    <x v="48"/>
    <x v="95"/>
    <x v="2"/>
    <x v="2"/>
  </r>
  <r>
    <x v="21"/>
    <x v="0"/>
    <x v="0"/>
    <x v="2"/>
    <x v="21"/>
    <x v="21"/>
    <x v="12"/>
    <x v="12"/>
    <x v="12"/>
    <x v="12"/>
    <x v="17"/>
    <x v="109"/>
    <x v="213"/>
    <x v="125"/>
    <x v="99"/>
    <x v="51"/>
    <x v="242"/>
    <x v="2"/>
    <x v="2"/>
  </r>
  <r>
    <x v="21"/>
    <x v="0"/>
    <x v="0"/>
    <x v="2"/>
    <x v="21"/>
    <x v="21"/>
    <x v="4"/>
    <x v="4"/>
    <x v="4"/>
    <x v="4"/>
    <x v="17"/>
    <x v="109"/>
    <x v="213"/>
    <x v="112"/>
    <x v="295"/>
    <x v="64"/>
    <x v="35"/>
    <x v="2"/>
    <x v="2"/>
  </r>
  <r>
    <x v="22"/>
    <x v="0"/>
    <x v="0"/>
    <x v="2"/>
    <x v="22"/>
    <x v="22"/>
    <x v="0"/>
    <x v="0"/>
    <x v="0"/>
    <x v="0"/>
    <x v="0"/>
    <x v="203"/>
    <x v="221"/>
    <x v="151"/>
    <x v="260"/>
    <x v="96"/>
    <x v="243"/>
    <x v="2"/>
    <x v="2"/>
  </r>
  <r>
    <x v="22"/>
    <x v="0"/>
    <x v="0"/>
    <x v="2"/>
    <x v="22"/>
    <x v="22"/>
    <x v="1"/>
    <x v="1"/>
    <x v="1"/>
    <x v="1"/>
    <x v="1"/>
    <x v="127"/>
    <x v="222"/>
    <x v="30"/>
    <x v="296"/>
    <x v="109"/>
    <x v="12"/>
    <x v="2"/>
    <x v="2"/>
  </r>
  <r>
    <x v="22"/>
    <x v="0"/>
    <x v="0"/>
    <x v="2"/>
    <x v="22"/>
    <x v="22"/>
    <x v="2"/>
    <x v="2"/>
    <x v="2"/>
    <x v="2"/>
    <x v="2"/>
    <x v="103"/>
    <x v="83"/>
    <x v="102"/>
    <x v="297"/>
    <x v="106"/>
    <x v="178"/>
    <x v="2"/>
    <x v="2"/>
  </r>
  <r>
    <x v="22"/>
    <x v="0"/>
    <x v="0"/>
    <x v="2"/>
    <x v="22"/>
    <x v="22"/>
    <x v="3"/>
    <x v="3"/>
    <x v="3"/>
    <x v="3"/>
    <x v="3"/>
    <x v="204"/>
    <x v="223"/>
    <x v="66"/>
    <x v="176"/>
    <x v="41"/>
    <x v="23"/>
    <x v="2"/>
    <x v="2"/>
  </r>
  <r>
    <x v="22"/>
    <x v="0"/>
    <x v="0"/>
    <x v="2"/>
    <x v="22"/>
    <x v="22"/>
    <x v="6"/>
    <x v="6"/>
    <x v="6"/>
    <x v="6"/>
    <x v="4"/>
    <x v="117"/>
    <x v="224"/>
    <x v="106"/>
    <x v="298"/>
    <x v="81"/>
    <x v="244"/>
    <x v="2"/>
    <x v="2"/>
  </r>
  <r>
    <x v="22"/>
    <x v="0"/>
    <x v="0"/>
    <x v="2"/>
    <x v="22"/>
    <x v="22"/>
    <x v="8"/>
    <x v="8"/>
    <x v="8"/>
    <x v="8"/>
    <x v="5"/>
    <x v="55"/>
    <x v="131"/>
    <x v="166"/>
    <x v="299"/>
    <x v="102"/>
    <x v="121"/>
    <x v="2"/>
    <x v="2"/>
  </r>
  <r>
    <x v="22"/>
    <x v="0"/>
    <x v="0"/>
    <x v="2"/>
    <x v="22"/>
    <x v="22"/>
    <x v="10"/>
    <x v="10"/>
    <x v="10"/>
    <x v="10"/>
    <x v="6"/>
    <x v="177"/>
    <x v="60"/>
    <x v="74"/>
    <x v="300"/>
    <x v="72"/>
    <x v="26"/>
    <x v="2"/>
    <x v="2"/>
  </r>
  <r>
    <x v="22"/>
    <x v="0"/>
    <x v="0"/>
    <x v="2"/>
    <x v="22"/>
    <x v="22"/>
    <x v="12"/>
    <x v="12"/>
    <x v="12"/>
    <x v="12"/>
    <x v="7"/>
    <x v="56"/>
    <x v="26"/>
    <x v="166"/>
    <x v="299"/>
    <x v="105"/>
    <x v="245"/>
    <x v="2"/>
    <x v="2"/>
  </r>
  <r>
    <x v="22"/>
    <x v="0"/>
    <x v="0"/>
    <x v="2"/>
    <x v="22"/>
    <x v="22"/>
    <x v="46"/>
    <x v="46"/>
    <x v="46"/>
    <x v="46"/>
    <x v="8"/>
    <x v="57"/>
    <x v="132"/>
    <x v="81"/>
    <x v="216"/>
    <x v="130"/>
    <x v="207"/>
    <x v="2"/>
    <x v="2"/>
  </r>
  <r>
    <x v="22"/>
    <x v="0"/>
    <x v="0"/>
    <x v="2"/>
    <x v="22"/>
    <x v="22"/>
    <x v="7"/>
    <x v="7"/>
    <x v="7"/>
    <x v="7"/>
    <x v="8"/>
    <x v="57"/>
    <x v="132"/>
    <x v="167"/>
    <x v="301"/>
    <x v="131"/>
    <x v="84"/>
    <x v="2"/>
    <x v="2"/>
  </r>
  <r>
    <x v="22"/>
    <x v="0"/>
    <x v="0"/>
    <x v="2"/>
    <x v="22"/>
    <x v="22"/>
    <x v="9"/>
    <x v="9"/>
    <x v="9"/>
    <x v="9"/>
    <x v="10"/>
    <x v="73"/>
    <x v="110"/>
    <x v="55"/>
    <x v="204"/>
    <x v="67"/>
    <x v="246"/>
    <x v="2"/>
    <x v="2"/>
  </r>
  <r>
    <x v="22"/>
    <x v="0"/>
    <x v="0"/>
    <x v="2"/>
    <x v="22"/>
    <x v="22"/>
    <x v="15"/>
    <x v="15"/>
    <x v="15"/>
    <x v="15"/>
    <x v="11"/>
    <x v="85"/>
    <x v="172"/>
    <x v="57"/>
    <x v="70"/>
    <x v="104"/>
    <x v="107"/>
    <x v="2"/>
    <x v="2"/>
  </r>
  <r>
    <x v="22"/>
    <x v="0"/>
    <x v="0"/>
    <x v="2"/>
    <x v="22"/>
    <x v="22"/>
    <x v="5"/>
    <x v="5"/>
    <x v="5"/>
    <x v="5"/>
    <x v="11"/>
    <x v="85"/>
    <x v="172"/>
    <x v="166"/>
    <x v="299"/>
    <x v="111"/>
    <x v="5"/>
    <x v="2"/>
    <x v="2"/>
  </r>
  <r>
    <x v="22"/>
    <x v="0"/>
    <x v="0"/>
    <x v="2"/>
    <x v="22"/>
    <x v="22"/>
    <x v="13"/>
    <x v="13"/>
    <x v="13"/>
    <x v="13"/>
    <x v="13"/>
    <x v="113"/>
    <x v="225"/>
    <x v="57"/>
    <x v="70"/>
    <x v="73"/>
    <x v="101"/>
    <x v="2"/>
    <x v="2"/>
  </r>
  <r>
    <x v="22"/>
    <x v="0"/>
    <x v="0"/>
    <x v="2"/>
    <x v="22"/>
    <x v="22"/>
    <x v="4"/>
    <x v="4"/>
    <x v="4"/>
    <x v="4"/>
    <x v="13"/>
    <x v="113"/>
    <x v="225"/>
    <x v="138"/>
    <x v="302"/>
    <x v="61"/>
    <x v="45"/>
    <x v="2"/>
    <x v="2"/>
  </r>
  <r>
    <x v="22"/>
    <x v="0"/>
    <x v="0"/>
    <x v="2"/>
    <x v="22"/>
    <x v="22"/>
    <x v="14"/>
    <x v="14"/>
    <x v="14"/>
    <x v="14"/>
    <x v="15"/>
    <x v="86"/>
    <x v="142"/>
    <x v="54"/>
    <x v="194"/>
    <x v="99"/>
    <x v="247"/>
    <x v="2"/>
    <x v="2"/>
  </r>
  <r>
    <x v="22"/>
    <x v="0"/>
    <x v="0"/>
    <x v="2"/>
    <x v="22"/>
    <x v="22"/>
    <x v="24"/>
    <x v="24"/>
    <x v="24"/>
    <x v="24"/>
    <x v="16"/>
    <x v="131"/>
    <x v="51"/>
    <x v="120"/>
    <x v="303"/>
    <x v="71"/>
    <x v="248"/>
    <x v="2"/>
    <x v="2"/>
  </r>
  <r>
    <x v="22"/>
    <x v="0"/>
    <x v="0"/>
    <x v="2"/>
    <x v="22"/>
    <x v="22"/>
    <x v="22"/>
    <x v="22"/>
    <x v="22"/>
    <x v="22"/>
    <x v="17"/>
    <x v="138"/>
    <x v="52"/>
    <x v="96"/>
    <x v="53"/>
    <x v="112"/>
    <x v="185"/>
    <x v="2"/>
    <x v="2"/>
  </r>
  <r>
    <x v="22"/>
    <x v="0"/>
    <x v="0"/>
    <x v="2"/>
    <x v="22"/>
    <x v="22"/>
    <x v="17"/>
    <x v="17"/>
    <x v="17"/>
    <x v="17"/>
    <x v="18"/>
    <x v="163"/>
    <x v="68"/>
    <x v="54"/>
    <x v="194"/>
    <x v="48"/>
    <x v="249"/>
    <x v="2"/>
    <x v="2"/>
  </r>
  <r>
    <x v="22"/>
    <x v="0"/>
    <x v="0"/>
    <x v="2"/>
    <x v="22"/>
    <x v="22"/>
    <x v="20"/>
    <x v="20"/>
    <x v="20"/>
    <x v="20"/>
    <x v="18"/>
    <x v="163"/>
    <x v="68"/>
    <x v="47"/>
    <x v="14"/>
    <x v="82"/>
    <x v="74"/>
    <x v="2"/>
    <x v="2"/>
  </r>
  <r>
    <x v="22"/>
    <x v="0"/>
    <x v="0"/>
    <x v="2"/>
    <x v="22"/>
    <x v="22"/>
    <x v="27"/>
    <x v="27"/>
    <x v="27"/>
    <x v="27"/>
    <x v="18"/>
    <x v="163"/>
    <x v="68"/>
    <x v="67"/>
    <x v="258"/>
    <x v="109"/>
    <x v="12"/>
    <x v="2"/>
    <x v="2"/>
  </r>
  <r>
    <x v="23"/>
    <x v="0"/>
    <x v="0"/>
    <x v="2"/>
    <x v="23"/>
    <x v="23"/>
    <x v="0"/>
    <x v="0"/>
    <x v="0"/>
    <x v="0"/>
    <x v="0"/>
    <x v="205"/>
    <x v="226"/>
    <x v="168"/>
    <x v="304"/>
    <x v="122"/>
    <x v="250"/>
    <x v="2"/>
    <x v="2"/>
  </r>
  <r>
    <x v="23"/>
    <x v="0"/>
    <x v="0"/>
    <x v="2"/>
    <x v="23"/>
    <x v="23"/>
    <x v="3"/>
    <x v="3"/>
    <x v="3"/>
    <x v="3"/>
    <x v="1"/>
    <x v="206"/>
    <x v="227"/>
    <x v="135"/>
    <x v="305"/>
    <x v="103"/>
    <x v="117"/>
    <x v="2"/>
    <x v="2"/>
  </r>
  <r>
    <x v="23"/>
    <x v="0"/>
    <x v="0"/>
    <x v="2"/>
    <x v="23"/>
    <x v="23"/>
    <x v="2"/>
    <x v="2"/>
    <x v="2"/>
    <x v="2"/>
    <x v="2"/>
    <x v="207"/>
    <x v="228"/>
    <x v="169"/>
    <x v="134"/>
    <x v="112"/>
    <x v="251"/>
    <x v="2"/>
    <x v="2"/>
  </r>
  <r>
    <x v="23"/>
    <x v="0"/>
    <x v="0"/>
    <x v="2"/>
    <x v="23"/>
    <x v="23"/>
    <x v="1"/>
    <x v="1"/>
    <x v="1"/>
    <x v="1"/>
    <x v="3"/>
    <x v="175"/>
    <x v="229"/>
    <x v="38"/>
    <x v="306"/>
    <x v="62"/>
    <x v="219"/>
    <x v="2"/>
    <x v="2"/>
  </r>
  <r>
    <x v="23"/>
    <x v="0"/>
    <x v="0"/>
    <x v="2"/>
    <x v="23"/>
    <x v="23"/>
    <x v="5"/>
    <x v="5"/>
    <x v="5"/>
    <x v="5"/>
    <x v="4"/>
    <x v="101"/>
    <x v="71"/>
    <x v="150"/>
    <x v="307"/>
    <x v="112"/>
    <x v="251"/>
    <x v="2"/>
    <x v="2"/>
  </r>
  <r>
    <x v="23"/>
    <x v="0"/>
    <x v="0"/>
    <x v="2"/>
    <x v="23"/>
    <x v="23"/>
    <x v="14"/>
    <x v="14"/>
    <x v="14"/>
    <x v="14"/>
    <x v="5"/>
    <x v="155"/>
    <x v="22"/>
    <x v="80"/>
    <x v="308"/>
    <x v="58"/>
    <x v="243"/>
    <x v="2"/>
    <x v="2"/>
  </r>
  <r>
    <x v="23"/>
    <x v="0"/>
    <x v="0"/>
    <x v="2"/>
    <x v="23"/>
    <x v="23"/>
    <x v="8"/>
    <x v="8"/>
    <x v="8"/>
    <x v="8"/>
    <x v="6"/>
    <x v="103"/>
    <x v="86"/>
    <x v="52"/>
    <x v="309"/>
    <x v="62"/>
    <x v="219"/>
    <x v="2"/>
    <x v="2"/>
  </r>
  <r>
    <x v="23"/>
    <x v="0"/>
    <x v="0"/>
    <x v="2"/>
    <x v="23"/>
    <x v="23"/>
    <x v="7"/>
    <x v="7"/>
    <x v="7"/>
    <x v="7"/>
    <x v="7"/>
    <x v="50"/>
    <x v="218"/>
    <x v="109"/>
    <x v="310"/>
    <x v="101"/>
    <x v="103"/>
    <x v="2"/>
    <x v="2"/>
  </r>
  <r>
    <x v="23"/>
    <x v="0"/>
    <x v="0"/>
    <x v="2"/>
    <x v="23"/>
    <x v="23"/>
    <x v="4"/>
    <x v="4"/>
    <x v="4"/>
    <x v="4"/>
    <x v="8"/>
    <x v="66"/>
    <x v="24"/>
    <x v="95"/>
    <x v="311"/>
    <x v="48"/>
    <x v="144"/>
    <x v="2"/>
    <x v="2"/>
  </r>
  <r>
    <x v="23"/>
    <x v="0"/>
    <x v="0"/>
    <x v="2"/>
    <x v="23"/>
    <x v="23"/>
    <x v="12"/>
    <x v="12"/>
    <x v="12"/>
    <x v="12"/>
    <x v="9"/>
    <x v="208"/>
    <x v="61"/>
    <x v="64"/>
    <x v="312"/>
    <x v="116"/>
    <x v="228"/>
    <x v="2"/>
    <x v="2"/>
  </r>
  <r>
    <x v="23"/>
    <x v="0"/>
    <x v="0"/>
    <x v="2"/>
    <x v="23"/>
    <x v="23"/>
    <x v="10"/>
    <x v="10"/>
    <x v="10"/>
    <x v="10"/>
    <x v="10"/>
    <x v="80"/>
    <x v="87"/>
    <x v="114"/>
    <x v="313"/>
    <x v="46"/>
    <x v="33"/>
    <x v="2"/>
    <x v="2"/>
  </r>
  <r>
    <x v="23"/>
    <x v="0"/>
    <x v="0"/>
    <x v="2"/>
    <x v="23"/>
    <x v="23"/>
    <x v="6"/>
    <x v="6"/>
    <x v="6"/>
    <x v="6"/>
    <x v="11"/>
    <x v="156"/>
    <x v="140"/>
    <x v="50"/>
    <x v="314"/>
    <x v="106"/>
    <x v="252"/>
    <x v="2"/>
    <x v="2"/>
  </r>
  <r>
    <x v="23"/>
    <x v="0"/>
    <x v="0"/>
    <x v="2"/>
    <x v="23"/>
    <x v="23"/>
    <x v="9"/>
    <x v="9"/>
    <x v="9"/>
    <x v="9"/>
    <x v="12"/>
    <x v="52"/>
    <x v="149"/>
    <x v="78"/>
    <x v="315"/>
    <x v="155"/>
    <x v="253"/>
    <x v="2"/>
    <x v="2"/>
  </r>
  <r>
    <x v="23"/>
    <x v="0"/>
    <x v="0"/>
    <x v="2"/>
    <x v="23"/>
    <x v="23"/>
    <x v="24"/>
    <x v="24"/>
    <x v="24"/>
    <x v="24"/>
    <x v="13"/>
    <x v="149"/>
    <x v="154"/>
    <x v="95"/>
    <x v="311"/>
    <x v="131"/>
    <x v="254"/>
    <x v="2"/>
    <x v="2"/>
  </r>
  <r>
    <x v="23"/>
    <x v="0"/>
    <x v="0"/>
    <x v="2"/>
    <x v="23"/>
    <x v="23"/>
    <x v="22"/>
    <x v="22"/>
    <x v="22"/>
    <x v="22"/>
    <x v="14"/>
    <x v="121"/>
    <x v="124"/>
    <x v="51"/>
    <x v="316"/>
    <x v="67"/>
    <x v="255"/>
    <x v="2"/>
    <x v="2"/>
  </r>
  <r>
    <x v="23"/>
    <x v="0"/>
    <x v="0"/>
    <x v="2"/>
    <x v="23"/>
    <x v="23"/>
    <x v="18"/>
    <x v="18"/>
    <x v="18"/>
    <x v="18"/>
    <x v="15"/>
    <x v="74"/>
    <x v="33"/>
    <x v="149"/>
    <x v="174"/>
    <x v="60"/>
    <x v="185"/>
    <x v="2"/>
    <x v="2"/>
  </r>
  <r>
    <x v="23"/>
    <x v="0"/>
    <x v="0"/>
    <x v="2"/>
    <x v="23"/>
    <x v="23"/>
    <x v="21"/>
    <x v="21"/>
    <x v="21"/>
    <x v="21"/>
    <x v="16"/>
    <x v="113"/>
    <x v="230"/>
    <x v="51"/>
    <x v="316"/>
    <x v="59"/>
    <x v="121"/>
    <x v="2"/>
    <x v="2"/>
  </r>
  <r>
    <x v="23"/>
    <x v="0"/>
    <x v="0"/>
    <x v="2"/>
    <x v="23"/>
    <x v="23"/>
    <x v="17"/>
    <x v="17"/>
    <x v="17"/>
    <x v="17"/>
    <x v="17"/>
    <x v="86"/>
    <x v="144"/>
    <x v="55"/>
    <x v="96"/>
    <x v="57"/>
    <x v="94"/>
    <x v="2"/>
    <x v="2"/>
  </r>
  <r>
    <x v="23"/>
    <x v="0"/>
    <x v="0"/>
    <x v="2"/>
    <x v="23"/>
    <x v="23"/>
    <x v="13"/>
    <x v="13"/>
    <x v="13"/>
    <x v="13"/>
    <x v="18"/>
    <x v="87"/>
    <x v="231"/>
    <x v="78"/>
    <x v="315"/>
    <x v="99"/>
    <x v="26"/>
    <x v="2"/>
    <x v="2"/>
  </r>
  <r>
    <x v="23"/>
    <x v="0"/>
    <x v="0"/>
    <x v="2"/>
    <x v="23"/>
    <x v="23"/>
    <x v="45"/>
    <x v="45"/>
    <x v="45"/>
    <x v="45"/>
    <x v="19"/>
    <x v="160"/>
    <x v="232"/>
    <x v="146"/>
    <x v="132"/>
    <x v="101"/>
    <x v="103"/>
    <x v="2"/>
    <x v="2"/>
  </r>
  <r>
    <x v="24"/>
    <x v="0"/>
    <x v="0"/>
    <x v="2"/>
    <x v="24"/>
    <x v="24"/>
    <x v="0"/>
    <x v="0"/>
    <x v="0"/>
    <x v="0"/>
    <x v="0"/>
    <x v="209"/>
    <x v="233"/>
    <x v="170"/>
    <x v="317"/>
    <x v="156"/>
    <x v="256"/>
    <x v="2"/>
    <x v="2"/>
  </r>
  <r>
    <x v="24"/>
    <x v="0"/>
    <x v="0"/>
    <x v="2"/>
    <x v="24"/>
    <x v="24"/>
    <x v="9"/>
    <x v="9"/>
    <x v="9"/>
    <x v="9"/>
    <x v="1"/>
    <x v="102"/>
    <x v="234"/>
    <x v="47"/>
    <x v="14"/>
    <x v="157"/>
    <x v="257"/>
    <x v="2"/>
    <x v="2"/>
  </r>
  <r>
    <x v="24"/>
    <x v="0"/>
    <x v="0"/>
    <x v="2"/>
    <x v="24"/>
    <x v="24"/>
    <x v="2"/>
    <x v="2"/>
    <x v="2"/>
    <x v="2"/>
    <x v="1"/>
    <x v="102"/>
    <x v="234"/>
    <x v="35"/>
    <x v="318"/>
    <x v="101"/>
    <x v="22"/>
    <x v="2"/>
    <x v="2"/>
  </r>
  <r>
    <x v="24"/>
    <x v="0"/>
    <x v="0"/>
    <x v="2"/>
    <x v="24"/>
    <x v="24"/>
    <x v="1"/>
    <x v="1"/>
    <x v="1"/>
    <x v="1"/>
    <x v="3"/>
    <x v="210"/>
    <x v="58"/>
    <x v="50"/>
    <x v="319"/>
    <x v="115"/>
    <x v="49"/>
    <x v="2"/>
    <x v="2"/>
  </r>
  <r>
    <x v="24"/>
    <x v="0"/>
    <x v="0"/>
    <x v="2"/>
    <x v="24"/>
    <x v="24"/>
    <x v="3"/>
    <x v="3"/>
    <x v="3"/>
    <x v="3"/>
    <x v="4"/>
    <x v="67"/>
    <x v="107"/>
    <x v="144"/>
    <x v="320"/>
    <x v="48"/>
    <x v="258"/>
    <x v="2"/>
    <x v="2"/>
  </r>
  <r>
    <x v="24"/>
    <x v="0"/>
    <x v="0"/>
    <x v="2"/>
    <x v="24"/>
    <x v="24"/>
    <x v="5"/>
    <x v="5"/>
    <x v="5"/>
    <x v="5"/>
    <x v="5"/>
    <x v="81"/>
    <x v="87"/>
    <x v="81"/>
    <x v="321"/>
    <x v="108"/>
    <x v="97"/>
    <x v="2"/>
    <x v="2"/>
  </r>
  <r>
    <x v="24"/>
    <x v="0"/>
    <x v="0"/>
    <x v="2"/>
    <x v="24"/>
    <x v="24"/>
    <x v="6"/>
    <x v="6"/>
    <x v="6"/>
    <x v="6"/>
    <x v="6"/>
    <x v="82"/>
    <x v="75"/>
    <x v="145"/>
    <x v="322"/>
    <x v="113"/>
    <x v="239"/>
    <x v="2"/>
    <x v="2"/>
  </r>
  <r>
    <x v="24"/>
    <x v="0"/>
    <x v="0"/>
    <x v="2"/>
    <x v="24"/>
    <x v="24"/>
    <x v="12"/>
    <x v="12"/>
    <x v="12"/>
    <x v="12"/>
    <x v="7"/>
    <x v="119"/>
    <x v="63"/>
    <x v="93"/>
    <x v="313"/>
    <x v="83"/>
    <x v="259"/>
    <x v="2"/>
    <x v="2"/>
  </r>
  <r>
    <x v="24"/>
    <x v="0"/>
    <x v="0"/>
    <x v="2"/>
    <x v="24"/>
    <x v="24"/>
    <x v="4"/>
    <x v="4"/>
    <x v="4"/>
    <x v="4"/>
    <x v="8"/>
    <x v="72"/>
    <x v="173"/>
    <x v="83"/>
    <x v="323"/>
    <x v="61"/>
    <x v="92"/>
    <x v="1"/>
    <x v="11"/>
  </r>
  <r>
    <x v="24"/>
    <x v="0"/>
    <x v="0"/>
    <x v="2"/>
    <x v="24"/>
    <x v="24"/>
    <x v="7"/>
    <x v="7"/>
    <x v="7"/>
    <x v="7"/>
    <x v="9"/>
    <x v="110"/>
    <x v="49"/>
    <x v="137"/>
    <x v="78"/>
    <x v="45"/>
    <x v="62"/>
    <x v="2"/>
    <x v="2"/>
  </r>
  <r>
    <x v="24"/>
    <x v="0"/>
    <x v="0"/>
    <x v="2"/>
    <x v="24"/>
    <x v="24"/>
    <x v="8"/>
    <x v="8"/>
    <x v="8"/>
    <x v="8"/>
    <x v="10"/>
    <x v="73"/>
    <x v="181"/>
    <x v="130"/>
    <x v="324"/>
    <x v="115"/>
    <x v="49"/>
    <x v="2"/>
    <x v="2"/>
  </r>
  <r>
    <x v="24"/>
    <x v="0"/>
    <x v="0"/>
    <x v="2"/>
    <x v="24"/>
    <x v="24"/>
    <x v="14"/>
    <x v="14"/>
    <x v="14"/>
    <x v="14"/>
    <x v="11"/>
    <x v="128"/>
    <x v="15"/>
    <x v="47"/>
    <x v="14"/>
    <x v="46"/>
    <x v="139"/>
    <x v="2"/>
    <x v="2"/>
  </r>
  <r>
    <x v="24"/>
    <x v="0"/>
    <x v="0"/>
    <x v="2"/>
    <x v="24"/>
    <x v="24"/>
    <x v="39"/>
    <x v="39"/>
    <x v="39"/>
    <x v="39"/>
    <x v="12"/>
    <x v="122"/>
    <x v="16"/>
    <x v="51"/>
    <x v="325"/>
    <x v="98"/>
    <x v="260"/>
    <x v="2"/>
    <x v="2"/>
  </r>
  <r>
    <x v="24"/>
    <x v="0"/>
    <x v="0"/>
    <x v="2"/>
    <x v="24"/>
    <x v="24"/>
    <x v="10"/>
    <x v="10"/>
    <x v="10"/>
    <x v="10"/>
    <x v="12"/>
    <x v="122"/>
    <x v="16"/>
    <x v="117"/>
    <x v="326"/>
    <x v="48"/>
    <x v="258"/>
    <x v="2"/>
    <x v="2"/>
  </r>
  <r>
    <x v="24"/>
    <x v="0"/>
    <x v="0"/>
    <x v="2"/>
    <x v="24"/>
    <x v="24"/>
    <x v="15"/>
    <x v="15"/>
    <x v="15"/>
    <x v="15"/>
    <x v="14"/>
    <x v="88"/>
    <x v="66"/>
    <x v="59"/>
    <x v="74"/>
    <x v="60"/>
    <x v="111"/>
    <x v="2"/>
    <x v="2"/>
  </r>
  <r>
    <x v="24"/>
    <x v="0"/>
    <x v="0"/>
    <x v="2"/>
    <x v="24"/>
    <x v="24"/>
    <x v="13"/>
    <x v="13"/>
    <x v="13"/>
    <x v="13"/>
    <x v="14"/>
    <x v="88"/>
    <x v="66"/>
    <x v="53"/>
    <x v="266"/>
    <x v="99"/>
    <x v="74"/>
    <x v="2"/>
    <x v="2"/>
  </r>
  <r>
    <x v="24"/>
    <x v="0"/>
    <x v="0"/>
    <x v="2"/>
    <x v="24"/>
    <x v="24"/>
    <x v="20"/>
    <x v="20"/>
    <x v="20"/>
    <x v="20"/>
    <x v="16"/>
    <x v="123"/>
    <x v="18"/>
    <x v="57"/>
    <x v="70"/>
    <x v="49"/>
    <x v="261"/>
    <x v="2"/>
    <x v="2"/>
  </r>
  <r>
    <x v="24"/>
    <x v="0"/>
    <x v="0"/>
    <x v="2"/>
    <x v="24"/>
    <x v="24"/>
    <x v="18"/>
    <x v="18"/>
    <x v="18"/>
    <x v="18"/>
    <x v="17"/>
    <x v="124"/>
    <x v="68"/>
    <x v="58"/>
    <x v="35"/>
    <x v="48"/>
    <x v="258"/>
    <x v="2"/>
    <x v="2"/>
  </r>
  <r>
    <x v="24"/>
    <x v="0"/>
    <x v="0"/>
    <x v="2"/>
    <x v="24"/>
    <x v="24"/>
    <x v="35"/>
    <x v="35"/>
    <x v="35"/>
    <x v="35"/>
    <x v="18"/>
    <x v="131"/>
    <x v="55"/>
    <x v="51"/>
    <x v="325"/>
    <x v="110"/>
    <x v="262"/>
    <x v="2"/>
    <x v="2"/>
  </r>
  <r>
    <x v="24"/>
    <x v="0"/>
    <x v="0"/>
    <x v="2"/>
    <x v="24"/>
    <x v="24"/>
    <x v="17"/>
    <x v="17"/>
    <x v="17"/>
    <x v="17"/>
    <x v="19"/>
    <x v="132"/>
    <x v="235"/>
    <x v="53"/>
    <x v="266"/>
    <x v="115"/>
    <x v="49"/>
    <x v="2"/>
    <x v="2"/>
  </r>
  <r>
    <x v="24"/>
    <x v="0"/>
    <x v="0"/>
    <x v="2"/>
    <x v="24"/>
    <x v="24"/>
    <x v="36"/>
    <x v="36"/>
    <x v="36"/>
    <x v="36"/>
    <x v="19"/>
    <x v="132"/>
    <x v="235"/>
    <x v="55"/>
    <x v="204"/>
    <x v="72"/>
    <x v="119"/>
    <x v="2"/>
    <x v="2"/>
  </r>
  <r>
    <x v="24"/>
    <x v="0"/>
    <x v="0"/>
    <x v="2"/>
    <x v="24"/>
    <x v="24"/>
    <x v="22"/>
    <x v="22"/>
    <x v="22"/>
    <x v="22"/>
    <x v="19"/>
    <x v="132"/>
    <x v="235"/>
    <x v="59"/>
    <x v="74"/>
    <x v="48"/>
    <x v="258"/>
    <x v="2"/>
    <x v="2"/>
  </r>
  <r>
    <x v="25"/>
    <x v="0"/>
    <x v="0"/>
    <x v="2"/>
    <x v="25"/>
    <x v="25"/>
    <x v="0"/>
    <x v="0"/>
    <x v="0"/>
    <x v="0"/>
    <x v="0"/>
    <x v="211"/>
    <x v="236"/>
    <x v="168"/>
    <x v="327"/>
    <x v="158"/>
    <x v="263"/>
    <x v="2"/>
    <x v="2"/>
  </r>
  <r>
    <x v="25"/>
    <x v="0"/>
    <x v="0"/>
    <x v="2"/>
    <x v="25"/>
    <x v="25"/>
    <x v="1"/>
    <x v="1"/>
    <x v="1"/>
    <x v="1"/>
    <x v="1"/>
    <x v="143"/>
    <x v="237"/>
    <x v="171"/>
    <x v="328"/>
    <x v="42"/>
    <x v="50"/>
    <x v="2"/>
    <x v="2"/>
  </r>
  <r>
    <x v="25"/>
    <x v="0"/>
    <x v="0"/>
    <x v="2"/>
    <x v="25"/>
    <x v="25"/>
    <x v="2"/>
    <x v="2"/>
    <x v="2"/>
    <x v="2"/>
    <x v="2"/>
    <x v="212"/>
    <x v="238"/>
    <x v="101"/>
    <x v="329"/>
    <x v="111"/>
    <x v="264"/>
    <x v="2"/>
    <x v="2"/>
  </r>
  <r>
    <x v="25"/>
    <x v="0"/>
    <x v="0"/>
    <x v="2"/>
    <x v="25"/>
    <x v="25"/>
    <x v="9"/>
    <x v="9"/>
    <x v="9"/>
    <x v="9"/>
    <x v="3"/>
    <x v="213"/>
    <x v="239"/>
    <x v="78"/>
    <x v="268"/>
    <x v="159"/>
    <x v="265"/>
    <x v="2"/>
    <x v="2"/>
  </r>
  <r>
    <x v="25"/>
    <x v="0"/>
    <x v="0"/>
    <x v="2"/>
    <x v="25"/>
    <x v="25"/>
    <x v="5"/>
    <x v="5"/>
    <x v="5"/>
    <x v="5"/>
    <x v="4"/>
    <x v="50"/>
    <x v="204"/>
    <x v="172"/>
    <x v="199"/>
    <x v="109"/>
    <x v="266"/>
    <x v="2"/>
    <x v="2"/>
  </r>
  <r>
    <x v="25"/>
    <x v="0"/>
    <x v="0"/>
    <x v="2"/>
    <x v="25"/>
    <x v="25"/>
    <x v="6"/>
    <x v="6"/>
    <x v="6"/>
    <x v="6"/>
    <x v="5"/>
    <x v="159"/>
    <x v="240"/>
    <x v="145"/>
    <x v="21"/>
    <x v="77"/>
    <x v="161"/>
    <x v="2"/>
    <x v="2"/>
  </r>
  <r>
    <x v="25"/>
    <x v="0"/>
    <x v="0"/>
    <x v="2"/>
    <x v="25"/>
    <x v="25"/>
    <x v="3"/>
    <x v="3"/>
    <x v="3"/>
    <x v="3"/>
    <x v="6"/>
    <x v="70"/>
    <x v="187"/>
    <x v="97"/>
    <x v="78"/>
    <x v="61"/>
    <x v="242"/>
    <x v="2"/>
    <x v="2"/>
  </r>
  <r>
    <x v="25"/>
    <x v="0"/>
    <x v="0"/>
    <x v="2"/>
    <x v="25"/>
    <x v="25"/>
    <x v="4"/>
    <x v="4"/>
    <x v="4"/>
    <x v="4"/>
    <x v="7"/>
    <x v="71"/>
    <x v="241"/>
    <x v="29"/>
    <x v="48"/>
    <x v="61"/>
    <x v="242"/>
    <x v="1"/>
    <x v="16"/>
  </r>
  <r>
    <x v="25"/>
    <x v="0"/>
    <x v="0"/>
    <x v="2"/>
    <x v="25"/>
    <x v="25"/>
    <x v="8"/>
    <x v="8"/>
    <x v="8"/>
    <x v="8"/>
    <x v="8"/>
    <x v="55"/>
    <x v="194"/>
    <x v="173"/>
    <x v="330"/>
    <x v="112"/>
    <x v="267"/>
    <x v="2"/>
    <x v="2"/>
  </r>
  <r>
    <x v="25"/>
    <x v="0"/>
    <x v="0"/>
    <x v="2"/>
    <x v="25"/>
    <x v="25"/>
    <x v="14"/>
    <x v="14"/>
    <x v="14"/>
    <x v="14"/>
    <x v="9"/>
    <x v="72"/>
    <x v="98"/>
    <x v="57"/>
    <x v="56"/>
    <x v="160"/>
    <x v="268"/>
    <x v="2"/>
    <x v="2"/>
  </r>
  <r>
    <x v="25"/>
    <x v="0"/>
    <x v="0"/>
    <x v="2"/>
    <x v="25"/>
    <x v="25"/>
    <x v="12"/>
    <x v="12"/>
    <x v="12"/>
    <x v="12"/>
    <x v="9"/>
    <x v="72"/>
    <x v="98"/>
    <x v="125"/>
    <x v="331"/>
    <x v="115"/>
    <x v="11"/>
    <x v="2"/>
    <x v="2"/>
  </r>
  <r>
    <x v="25"/>
    <x v="0"/>
    <x v="0"/>
    <x v="2"/>
    <x v="25"/>
    <x v="25"/>
    <x v="21"/>
    <x v="21"/>
    <x v="21"/>
    <x v="21"/>
    <x v="11"/>
    <x v="137"/>
    <x v="8"/>
    <x v="51"/>
    <x v="308"/>
    <x v="79"/>
    <x v="147"/>
    <x v="2"/>
    <x v="2"/>
  </r>
  <r>
    <x v="25"/>
    <x v="0"/>
    <x v="0"/>
    <x v="2"/>
    <x v="25"/>
    <x v="25"/>
    <x v="7"/>
    <x v="7"/>
    <x v="7"/>
    <x v="7"/>
    <x v="12"/>
    <x v="112"/>
    <x v="49"/>
    <x v="83"/>
    <x v="332"/>
    <x v="45"/>
    <x v="118"/>
    <x v="2"/>
    <x v="2"/>
  </r>
  <r>
    <x v="25"/>
    <x v="0"/>
    <x v="0"/>
    <x v="2"/>
    <x v="25"/>
    <x v="25"/>
    <x v="16"/>
    <x v="16"/>
    <x v="16"/>
    <x v="16"/>
    <x v="13"/>
    <x v="87"/>
    <x v="124"/>
    <x v="54"/>
    <x v="36"/>
    <x v="59"/>
    <x v="269"/>
    <x v="2"/>
    <x v="2"/>
  </r>
  <r>
    <x v="25"/>
    <x v="0"/>
    <x v="0"/>
    <x v="2"/>
    <x v="25"/>
    <x v="25"/>
    <x v="22"/>
    <x v="22"/>
    <x v="22"/>
    <x v="22"/>
    <x v="14"/>
    <x v="123"/>
    <x v="102"/>
    <x v="108"/>
    <x v="333"/>
    <x v="48"/>
    <x v="270"/>
    <x v="2"/>
    <x v="2"/>
  </r>
  <r>
    <x v="25"/>
    <x v="0"/>
    <x v="0"/>
    <x v="2"/>
    <x v="25"/>
    <x v="25"/>
    <x v="10"/>
    <x v="10"/>
    <x v="10"/>
    <x v="10"/>
    <x v="15"/>
    <x v="124"/>
    <x v="34"/>
    <x v="149"/>
    <x v="334"/>
    <x v="64"/>
    <x v="23"/>
    <x v="2"/>
    <x v="2"/>
  </r>
  <r>
    <x v="25"/>
    <x v="0"/>
    <x v="0"/>
    <x v="2"/>
    <x v="25"/>
    <x v="25"/>
    <x v="17"/>
    <x v="17"/>
    <x v="17"/>
    <x v="17"/>
    <x v="16"/>
    <x v="125"/>
    <x v="66"/>
    <x v="57"/>
    <x v="56"/>
    <x v="115"/>
    <x v="11"/>
    <x v="2"/>
    <x v="2"/>
  </r>
  <r>
    <x v="25"/>
    <x v="0"/>
    <x v="0"/>
    <x v="2"/>
    <x v="25"/>
    <x v="25"/>
    <x v="15"/>
    <x v="15"/>
    <x v="15"/>
    <x v="15"/>
    <x v="16"/>
    <x v="125"/>
    <x v="66"/>
    <x v="54"/>
    <x v="36"/>
    <x v="117"/>
    <x v="74"/>
    <x v="2"/>
    <x v="2"/>
  </r>
  <r>
    <x v="25"/>
    <x v="0"/>
    <x v="0"/>
    <x v="2"/>
    <x v="25"/>
    <x v="25"/>
    <x v="13"/>
    <x v="13"/>
    <x v="13"/>
    <x v="13"/>
    <x v="16"/>
    <x v="125"/>
    <x v="66"/>
    <x v="53"/>
    <x v="124"/>
    <x v="60"/>
    <x v="219"/>
    <x v="2"/>
    <x v="2"/>
  </r>
  <r>
    <x v="25"/>
    <x v="0"/>
    <x v="0"/>
    <x v="2"/>
    <x v="25"/>
    <x v="25"/>
    <x v="36"/>
    <x v="36"/>
    <x v="36"/>
    <x v="36"/>
    <x v="19"/>
    <x v="131"/>
    <x v="67"/>
    <x v="51"/>
    <x v="308"/>
    <x v="110"/>
    <x v="32"/>
    <x v="2"/>
    <x v="2"/>
  </r>
  <r>
    <x v="25"/>
    <x v="0"/>
    <x v="0"/>
    <x v="2"/>
    <x v="25"/>
    <x v="25"/>
    <x v="37"/>
    <x v="37"/>
    <x v="37"/>
    <x v="37"/>
    <x v="19"/>
    <x v="131"/>
    <x v="67"/>
    <x v="116"/>
    <x v="335"/>
    <x v="101"/>
    <x v="42"/>
    <x v="2"/>
    <x v="2"/>
  </r>
  <r>
    <x v="26"/>
    <x v="0"/>
    <x v="0"/>
    <x v="2"/>
    <x v="26"/>
    <x v="26"/>
    <x v="0"/>
    <x v="0"/>
    <x v="0"/>
    <x v="0"/>
    <x v="0"/>
    <x v="214"/>
    <x v="242"/>
    <x v="172"/>
    <x v="336"/>
    <x v="161"/>
    <x v="271"/>
    <x v="2"/>
    <x v="14"/>
  </r>
  <r>
    <x v="26"/>
    <x v="0"/>
    <x v="0"/>
    <x v="2"/>
    <x v="26"/>
    <x v="26"/>
    <x v="9"/>
    <x v="9"/>
    <x v="9"/>
    <x v="9"/>
    <x v="1"/>
    <x v="208"/>
    <x v="243"/>
    <x v="78"/>
    <x v="337"/>
    <x v="94"/>
    <x v="272"/>
    <x v="2"/>
    <x v="14"/>
  </r>
  <r>
    <x v="26"/>
    <x v="0"/>
    <x v="0"/>
    <x v="2"/>
    <x v="26"/>
    <x v="26"/>
    <x v="1"/>
    <x v="1"/>
    <x v="1"/>
    <x v="1"/>
    <x v="2"/>
    <x v="53"/>
    <x v="244"/>
    <x v="31"/>
    <x v="338"/>
    <x v="108"/>
    <x v="273"/>
    <x v="2"/>
    <x v="14"/>
  </r>
  <r>
    <x v="26"/>
    <x v="0"/>
    <x v="0"/>
    <x v="2"/>
    <x v="26"/>
    <x v="26"/>
    <x v="6"/>
    <x v="6"/>
    <x v="6"/>
    <x v="6"/>
    <x v="3"/>
    <x v="109"/>
    <x v="159"/>
    <x v="52"/>
    <x v="339"/>
    <x v="113"/>
    <x v="274"/>
    <x v="2"/>
    <x v="14"/>
  </r>
  <r>
    <x v="26"/>
    <x v="0"/>
    <x v="0"/>
    <x v="2"/>
    <x v="26"/>
    <x v="26"/>
    <x v="4"/>
    <x v="4"/>
    <x v="4"/>
    <x v="4"/>
    <x v="4"/>
    <x v="120"/>
    <x v="107"/>
    <x v="74"/>
    <x v="340"/>
    <x v="112"/>
    <x v="181"/>
    <x v="2"/>
    <x v="14"/>
  </r>
  <r>
    <x v="26"/>
    <x v="0"/>
    <x v="0"/>
    <x v="2"/>
    <x v="26"/>
    <x v="26"/>
    <x v="12"/>
    <x v="12"/>
    <x v="12"/>
    <x v="12"/>
    <x v="5"/>
    <x v="58"/>
    <x v="27"/>
    <x v="117"/>
    <x v="341"/>
    <x v="60"/>
    <x v="129"/>
    <x v="2"/>
    <x v="14"/>
  </r>
  <r>
    <x v="26"/>
    <x v="0"/>
    <x v="0"/>
    <x v="2"/>
    <x v="26"/>
    <x v="26"/>
    <x v="2"/>
    <x v="2"/>
    <x v="2"/>
    <x v="2"/>
    <x v="6"/>
    <x v="85"/>
    <x v="149"/>
    <x v="114"/>
    <x v="342"/>
    <x v="45"/>
    <x v="72"/>
    <x v="2"/>
    <x v="14"/>
  </r>
  <r>
    <x v="26"/>
    <x v="0"/>
    <x v="0"/>
    <x v="2"/>
    <x v="26"/>
    <x v="26"/>
    <x v="15"/>
    <x v="15"/>
    <x v="15"/>
    <x v="15"/>
    <x v="7"/>
    <x v="112"/>
    <x v="245"/>
    <x v="57"/>
    <x v="343"/>
    <x v="55"/>
    <x v="150"/>
    <x v="2"/>
    <x v="14"/>
  </r>
  <r>
    <x v="26"/>
    <x v="0"/>
    <x v="0"/>
    <x v="2"/>
    <x v="26"/>
    <x v="26"/>
    <x v="13"/>
    <x v="13"/>
    <x v="13"/>
    <x v="13"/>
    <x v="7"/>
    <x v="112"/>
    <x v="245"/>
    <x v="78"/>
    <x v="337"/>
    <x v="104"/>
    <x v="275"/>
    <x v="2"/>
    <x v="14"/>
  </r>
  <r>
    <x v="26"/>
    <x v="0"/>
    <x v="0"/>
    <x v="2"/>
    <x v="26"/>
    <x v="26"/>
    <x v="16"/>
    <x v="16"/>
    <x v="16"/>
    <x v="16"/>
    <x v="9"/>
    <x v="128"/>
    <x v="151"/>
    <x v="54"/>
    <x v="344"/>
    <x v="57"/>
    <x v="276"/>
    <x v="2"/>
    <x v="14"/>
  </r>
  <r>
    <x v="26"/>
    <x v="0"/>
    <x v="0"/>
    <x v="2"/>
    <x v="26"/>
    <x v="26"/>
    <x v="5"/>
    <x v="5"/>
    <x v="5"/>
    <x v="5"/>
    <x v="10"/>
    <x v="123"/>
    <x v="88"/>
    <x v="142"/>
    <x v="345"/>
    <x v="77"/>
    <x v="277"/>
    <x v="2"/>
    <x v="14"/>
  </r>
  <r>
    <x v="26"/>
    <x v="0"/>
    <x v="0"/>
    <x v="2"/>
    <x v="26"/>
    <x v="26"/>
    <x v="20"/>
    <x v="20"/>
    <x v="20"/>
    <x v="20"/>
    <x v="11"/>
    <x v="173"/>
    <x v="142"/>
    <x v="57"/>
    <x v="343"/>
    <x v="83"/>
    <x v="278"/>
    <x v="2"/>
    <x v="14"/>
  </r>
  <r>
    <x v="26"/>
    <x v="0"/>
    <x v="0"/>
    <x v="2"/>
    <x v="26"/>
    <x v="26"/>
    <x v="14"/>
    <x v="14"/>
    <x v="14"/>
    <x v="14"/>
    <x v="11"/>
    <x v="173"/>
    <x v="142"/>
    <x v="47"/>
    <x v="165"/>
    <x v="49"/>
    <x v="279"/>
    <x v="2"/>
    <x v="14"/>
  </r>
  <r>
    <x v="26"/>
    <x v="0"/>
    <x v="0"/>
    <x v="2"/>
    <x v="26"/>
    <x v="26"/>
    <x v="3"/>
    <x v="3"/>
    <x v="3"/>
    <x v="3"/>
    <x v="13"/>
    <x v="129"/>
    <x v="246"/>
    <x v="120"/>
    <x v="346"/>
    <x v="100"/>
    <x v="6"/>
    <x v="2"/>
    <x v="14"/>
  </r>
  <r>
    <x v="26"/>
    <x v="0"/>
    <x v="0"/>
    <x v="2"/>
    <x v="26"/>
    <x v="26"/>
    <x v="8"/>
    <x v="8"/>
    <x v="8"/>
    <x v="8"/>
    <x v="14"/>
    <x v="125"/>
    <x v="12"/>
    <x v="56"/>
    <x v="347"/>
    <x v="64"/>
    <x v="152"/>
    <x v="2"/>
    <x v="14"/>
  </r>
  <r>
    <x v="26"/>
    <x v="0"/>
    <x v="0"/>
    <x v="2"/>
    <x v="26"/>
    <x v="26"/>
    <x v="37"/>
    <x v="37"/>
    <x v="37"/>
    <x v="37"/>
    <x v="14"/>
    <x v="125"/>
    <x v="12"/>
    <x v="146"/>
    <x v="313"/>
    <x v="44"/>
    <x v="36"/>
    <x v="2"/>
    <x v="14"/>
  </r>
  <r>
    <x v="26"/>
    <x v="0"/>
    <x v="0"/>
    <x v="2"/>
    <x v="26"/>
    <x v="26"/>
    <x v="10"/>
    <x v="10"/>
    <x v="10"/>
    <x v="10"/>
    <x v="16"/>
    <x v="133"/>
    <x v="247"/>
    <x v="108"/>
    <x v="12"/>
    <x v="44"/>
    <x v="36"/>
    <x v="2"/>
    <x v="14"/>
  </r>
  <r>
    <x v="26"/>
    <x v="0"/>
    <x v="0"/>
    <x v="2"/>
    <x v="26"/>
    <x v="26"/>
    <x v="19"/>
    <x v="19"/>
    <x v="19"/>
    <x v="19"/>
    <x v="16"/>
    <x v="133"/>
    <x v="247"/>
    <x v="54"/>
    <x v="344"/>
    <x v="102"/>
    <x v="155"/>
    <x v="2"/>
    <x v="14"/>
  </r>
  <r>
    <x v="26"/>
    <x v="0"/>
    <x v="0"/>
    <x v="2"/>
    <x v="26"/>
    <x v="26"/>
    <x v="40"/>
    <x v="40"/>
    <x v="40"/>
    <x v="40"/>
    <x v="18"/>
    <x v="161"/>
    <x v="66"/>
    <x v="54"/>
    <x v="344"/>
    <x v="110"/>
    <x v="76"/>
    <x v="2"/>
    <x v="14"/>
  </r>
  <r>
    <x v="26"/>
    <x v="0"/>
    <x v="0"/>
    <x v="2"/>
    <x v="26"/>
    <x v="26"/>
    <x v="24"/>
    <x v="24"/>
    <x v="24"/>
    <x v="24"/>
    <x v="18"/>
    <x v="161"/>
    <x v="66"/>
    <x v="79"/>
    <x v="348"/>
    <x v="45"/>
    <x v="72"/>
    <x v="2"/>
    <x v="14"/>
  </r>
  <r>
    <x v="27"/>
    <x v="0"/>
    <x v="0"/>
    <x v="2"/>
    <x v="27"/>
    <x v="27"/>
    <x v="0"/>
    <x v="0"/>
    <x v="0"/>
    <x v="0"/>
    <x v="0"/>
    <x v="178"/>
    <x v="248"/>
    <x v="66"/>
    <x v="349"/>
    <x v="79"/>
    <x v="280"/>
    <x v="2"/>
    <x v="2"/>
  </r>
  <r>
    <x v="27"/>
    <x v="0"/>
    <x v="0"/>
    <x v="2"/>
    <x v="27"/>
    <x v="27"/>
    <x v="1"/>
    <x v="1"/>
    <x v="1"/>
    <x v="1"/>
    <x v="1"/>
    <x v="54"/>
    <x v="249"/>
    <x v="114"/>
    <x v="350"/>
    <x v="105"/>
    <x v="78"/>
    <x v="2"/>
    <x v="2"/>
  </r>
  <r>
    <x v="27"/>
    <x v="0"/>
    <x v="0"/>
    <x v="2"/>
    <x v="27"/>
    <x v="27"/>
    <x v="4"/>
    <x v="4"/>
    <x v="4"/>
    <x v="4"/>
    <x v="2"/>
    <x v="56"/>
    <x v="137"/>
    <x v="166"/>
    <x v="147"/>
    <x v="64"/>
    <x v="75"/>
    <x v="1"/>
    <x v="19"/>
  </r>
  <r>
    <x v="27"/>
    <x v="0"/>
    <x v="0"/>
    <x v="2"/>
    <x v="27"/>
    <x v="27"/>
    <x v="9"/>
    <x v="9"/>
    <x v="9"/>
    <x v="9"/>
    <x v="3"/>
    <x v="74"/>
    <x v="59"/>
    <x v="53"/>
    <x v="292"/>
    <x v="124"/>
    <x v="271"/>
    <x v="2"/>
    <x v="2"/>
  </r>
  <r>
    <x v="27"/>
    <x v="0"/>
    <x v="0"/>
    <x v="2"/>
    <x v="27"/>
    <x v="27"/>
    <x v="5"/>
    <x v="5"/>
    <x v="5"/>
    <x v="5"/>
    <x v="4"/>
    <x v="114"/>
    <x v="161"/>
    <x v="68"/>
    <x v="351"/>
    <x v="113"/>
    <x v="281"/>
    <x v="2"/>
    <x v="2"/>
  </r>
  <r>
    <x v="27"/>
    <x v="0"/>
    <x v="0"/>
    <x v="2"/>
    <x v="27"/>
    <x v="27"/>
    <x v="3"/>
    <x v="3"/>
    <x v="3"/>
    <x v="3"/>
    <x v="5"/>
    <x v="123"/>
    <x v="149"/>
    <x v="72"/>
    <x v="352"/>
    <x v="101"/>
    <x v="282"/>
    <x v="2"/>
    <x v="2"/>
  </r>
  <r>
    <x v="27"/>
    <x v="0"/>
    <x v="0"/>
    <x v="2"/>
    <x v="27"/>
    <x v="27"/>
    <x v="24"/>
    <x v="24"/>
    <x v="24"/>
    <x v="24"/>
    <x v="6"/>
    <x v="173"/>
    <x v="28"/>
    <x v="74"/>
    <x v="353"/>
    <x v="71"/>
    <x v="283"/>
    <x v="2"/>
    <x v="2"/>
  </r>
  <r>
    <x v="27"/>
    <x v="0"/>
    <x v="0"/>
    <x v="2"/>
    <x v="27"/>
    <x v="27"/>
    <x v="44"/>
    <x v="44"/>
    <x v="44"/>
    <x v="44"/>
    <x v="7"/>
    <x v="129"/>
    <x v="202"/>
    <x v="53"/>
    <x v="292"/>
    <x v="83"/>
    <x v="284"/>
    <x v="1"/>
    <x v="19"/>
  </r>
  <r>
    <x v="27"/>
    <x v="0"/>
    <x v="0"/>
    <x v="2"/>
    <x v="27"/>
    <x v="27"/>
    <x v="2"/>
    <x v="2"/>
    <x v="2"/>
    <x v="2"/>
    <x v="8"/>
    <x v="132"/>
    <x v="154"/>
    <x v="79"/>
    <x v="354"/>
    <x v="106"/>
    <x v="220"/>
    <x v="2"/>
    <x v="2"/>
  </r>
  <r>
    <x v="27"/>
    <x v="0"/>
    <x v="0"/>
    <x v="2"/>
    <x v="27"/>
    <x v="27"/>
    <x v="12"/>
    <x v="12"/>
    <x v="12"/>
    <x v="12"/>
    <x v="8"/>
    <x v="132"/>
    <x v="154"/>
    <x v="108"/>
    <x v="80"/>
    <x v="41"/>
    <x v="1"/>
    <x v="2"/>
    <x v="2"/>
  </r>
  <r>
    <x v="27"/>
    <x v="0"/>
    <x v="0"/>
    <x v="2"/>
    <x v="27"/>
    <x v="27"/>
    <x v="37"/>
    <x v="37"/>
    <x v="37"/>
    <x v="37"/>
    <x v="10"/>
    <x v="138"/>
    <x v="142"/>
    <x v="149"/>
    <x v="355"/>
    <x v="77"/>
    <x v="201"/>
    <x v="2"/>
    <x v="2"/>
  </r>
  <r>
    <x v="27"/>
    <x v="0"/>
    <x v="0"/>
    <x v="2"/>
    <x v="27"/>
    <x v="27"/>
    <x v="21"/>
    <x v="21"/>
    <x v="21"/>
    <x v="21"/>
    <x v="11"/>
    <x v="163"/>
    <x v="30"/>
    <x v="54"/>
    <x v="18"/>
    <x v="48"/>
    <x v="17"/>
    <x v="2"/>
    <x v="2"/>
  </r>
  <r>
    <x v="27"/>
    <x v="0"/>
    <x v="0"/>
    <x v="2"/>
    <x v="27"/>
    <x v="27"/>
    <x v="17"/>
    <x v="17"/>
    <x v="17"/>
    <x v="17"/>
    <x v="12"/>
    <x v="133"/>
    <x v="212"/>
    <x v="78"/>
    <x v="356"/>
    <x v="82"/>
    <x v="187"/>
    <x v="2"/>
    <x v="2"/>
  </r>
  <r>
    <x v="27"/>
    <x v="0"/>
    <x v="0"/>
    <x v="2"/>
    <x v="27"/>
    <x v="27"/>
    <x v="22"/>
    <x v="22"/>
    <x v="22"/>
    <x v="22"/>
    <x v="12"/>
    <x v="133"/>
    <x v="212"/>
    <x v="57"/>
    <x v="344"/>
    <x v="48"/>
    <x v="17"/>
    <x v="2"/>
    <x v="2"/>
  </r>
  <r>
    <x v="27"/>
    <x v="0"/>
    <x v="0"/>
    <x v="2"/>
    <x v="27"/>
    <x v="27"/>
    <x v="20"/>
    <x v="20"/>
    <x v="20"/>
    <x v="20"/>
    <x v="14"/>
    <x v="161"/>
    <x v="89"/>
    <x v="59"/>
    <x v="95"/>
    <x v="129"/>
    <x v="285"/>
    <x v="2"/>
    <x v="2"/>
  </r>
  <r>
    <x v="27"/>
    <x v="0"/>
    <x v="0"/>
    <x v="2"/>
    <x v="27"/>
    <x v="27"/>
    <x v="32"/>
    <x v="32"/>
    <x v="32"/>
    <x v="32"/>
    <x v="14"/>
    <x v="161"/>
    <x v="89"/>
    <x v="85"/>
    <x v="87"/>
    <x v="116"/>
    <x v="71"/>
    <x v="2"/>
    <x v="2"/>
  </r>
  <r>
    <x v="27"/>
    <x v="0"/>
    <x v="0"/>
    <x v="2"/>
    <x v="27"/>
    <x v="27"/>
    <x v="6"/>
    <x v="6"/>
    <x v="6"/>
    <x v="6"/>
    <x v="16"/>
    <x v="134"/>
    <x v="32"/>
    <x v="130"/>
    <x v="357"/>
    <x v="68"/>
    <x v="165"/>
    <x v="2"/>
    <x v="2"/>
  </r>
  <r>
    <x v="27"/>
    <x v="0"/>
    <x v="0"/>
    <x v="2"/>
    <x v="27"/>
    <x v="27"/>
    <x v="8"/>
    <x v="8"/>
    <x v="8"/>
    <x v="8"/>
    <x v="17"/>
    <x v="162"/>
    <x v="125"/>
    <x v="96"/>
    <x v="358"/>
    <x v="41"/>
    <x v="1"/>
    <x v="2"/>
    <x v="2"/>
  </r>
  <r>
    <x v="27"/>
    <x v="0"/>
    <x v="0"/>
    <x v="2"/>
    <x v="27"/>
    <x v="27"/>
    <x v="14"/>
    <x v="14"/>
    <x v="14"/>
    <x v="14"/>
    <x v="17"/>
    <x v="162"/>
    <x v="125"/>
    <x v="111"/>
    <x v="124"/>
    <x v="72"/>
    <x v="180"/>
    <x v="2"/>
    <x v="2"/>
  </r>
  <r>
    <x v="27"/>
    <x v="0"/>
    <x v="0"/>
    <x v="2"/>
    <x v="27"/>
    <x v="27"/>
    <x v="10"/>
    <x v="10"/>
    <x v="10"/>
    <x v="10"/>
    <x v="19"/>
    <x v="164"/>
    <x v="90"/>
    <x v="67"/>
    <x v="359"/>
    <x v="101"/>
    <x v="282"/>
    <x v="2"/>
    <x v="2"/>
  </r>
  <r>
    <x v="28"/>
    <x v="0"/>
    <x v="0"/>
    <x v="1"/>
    <x v="28"/>
    <x v="28"/>
    <x v="0"/>
    <x v="0"/>
    <x v="0"/>
    <x v="0"/>
    <x v="0"/>
    <x v="215"/>
    <x v="250"/>
    <x v="174"/>
    <x v="360"/>
    <x v="89"/>
    <x v="166"/>
    <x v="2"/>
    <x v="2"/>
  </r>
  <r>
    <x v="28"/>
    <x v="0"/>
    <x v="0"/>
    <x v="1"/>
    <x v="28"/>
    <x v="28"/>
    <x v="1"/>
    <x v="1"/>
    <x v="1"/>
    <x v="1"/>
    <x v="1"/>
    <x v="216"/>
    <x v="251"/>
    <x v="175"/>
    <x v="361"/>
    <x v="162"/>
    <x v="4"/>
    <x v="2"/>
    <x v="2"/>
  </r>
  <r>
    <x v="28"/>
    <x v="0"/>
    <x v="0"/>
    <x v="1"/>
    <x v="28"/>
    <x v="28"/>
    <x v="4"/>
    <x v="4"/>
    <x v="4"/>
    <x v="4"/>
    <x v="2"/>
    <x v="217"/>
    <x v="58"/>
    <x v="176"/>
    <x v="59"/>
    <x v="127"/>
    <x v="273"/>
    <x v="0"/>
    <x v="22"/>
  </r>
  <r>
    <x v="28"/>
    <x v="0"/>
    <x v="0"/>
    <x v="1"/>
    <x v="28"/>
    <x v="28"/>
    <x v="6"/>
    <x v="6"/>
    <x v="6"/>
    <x v="6"/>
    <x v="3"/>
    <x v="218"/>
    <x v="252"/>
    <x v="177"/>
    <x v="362"/>
    <x v="98"/>
    <x v="286"/>
    <x v="2"/>
    <x v="2"/>
  </r>
  <r>
    <x v="28"/>
    <x v="0"/>
    <x v="0"/>
    <x v="1"/>
    <x v="28"/>
    <x v="28"/>
    <x v="2"/>
    <x v="2"/>
    <x v="2"/>
    <x v="2"/>
    <x v="4"/>
    <x v="219"/>
    <x v="253"/>
    <x v="178"/>
    <x v="363"/>
    <x v="102"/>
    <x v="227"/>
    <x v="2"/>
    <x v="2"/>
  </r>
  <r>
    <x v="28"/>
    <x v="0"/>
    <x v="0"/>
    <x v="1"/>
    <x v="28"/>
    <x v="28"/>
    <x v="5"/>
    <x v="5"/>
    <x v="5"/>
    <x v="5"/>
    <x v="5"/>
    <x v="220"/>
    <x v="121"/>
    <x v="179"/>
    <x v="310"/>
    <x v="87"/>
    <x v="134"/>
    <x v="2"/>
    <x v="2"/>
  </r>
  <r>
    <x v="28"/>
    <x v="0"/>
    <x v="0"/>
    <x v="1"/>
    <x v="28"/>
    <x v="28"/>
    <x v="3"/>
    <x v="3"/>
    <x v="3"/>
    <x v="3"/>
    <x v="6"/>
    <x v="221"/>
    <x v="131"/>
    <x v="180"/>
    <x v="364"/>
    <x v="163"/>
    <x v="64"/>
    <x v="2"/>
    <x v="2"/>
  </r>
  <r>
    <x v="28"/>
    <x v="0"/>
    <x v="0"/>
    <x v="1"/>
    <x v="28"/>
    <x v="28"/>
    <x v="12"/>
    <x v="12"/>
    <x v="12"/>
    <x v="12"/>
    <x v="7"/>
    <x v="198"/>
    <x v="99"/>
    <x v="181"/>
    <x v="365"/>
    <x v="47"/>
    <x v="287"/>
    <x v="2"/>
    <x v="2"/>
  </r>
  <r>
    <x v="28"/>
    <x v="0"/>
    <x v="0"/>
    <x v="1"/>
    <x v="28"/>
    <x v="28"/>
    <x v="15"/>
    <x v="15"/>
    <x v="15"/>
    <x v="15"/>
    <x v="8"/>
    <x v="222"/>
    <x v="154"/>
    <x v="133"/>
    <x v="215"/>
    <x v="164"/>
    <x v="288"/>
    <x v="2"/>
    <x v="2"/>
  </r>
  <r>
    <x v="28"/>
    <x v="0"/>
    <x v="0"/>
    <x v="1"/>
    <x v="28"/>
    <x v="28"/>
    <x v="7"/>
    <x v="7"/>
    <x v="7"/>
    <x v="7"/>
    <x v="9"/>
    <x v="211"/>
    <x v="88"/>
    <x v="182"/>
    <x v="254"/>
    <x v="108"/>
    <x v="283"/>
    <x v="2"/>
    <x v="2"/>
  </r>
  <r>
    <x v="28"/>
    <x v="0"/>
    <x v="0"/>
    <x v="1"/>
    <x v="28"/>
    <x v="28"/>
    <x v="8"/>
    <x v="8"/>
    <x v="8"/>
    <x v="8"/>
    <x v="10"/>
    <x v="205"/>
    <x v="30"/>
    <x v="183"/>
    <x v="366"/>
    <x v="135"/>
    <x v="37"/>
    <x v="2"/>
    <x v="2"/>
  </r>
  <r>
    <x v="28"/>
    <x v="0"/>
    <x v="0"/>
    <x v="1"/>
    <x v="28"/>
    <x v="28"/>
    <x v="16"/>
    <x v="16"/>
    <x v="16"/>
    <x v="16"/>
    <x v="11"/>
    <x v="223"/>
    <x v="100"/>
    <x v="123"/>
    <x v="128"/>
    <x v="165"/>
    <x v="276"/>
    <x v="2"/>
    <x v="2"/>
  </r>
  <r>
    <x v="28"/>
    <x v="0"/>
    <x v="0"/>
    <x v="1"/>
    <x v="28"/>
    <x v="28"/>
    <x v="13"/>
    <x v="13"/>
    <x v="13"/>
    <x v="13"/>
    <x v="12"/>
    <x v="224"/>
    <x v="89"/>
    <x v="124"/>
    <x v="218"/>
    <x v="166"/>
    <x v="59"/>
    <x v="2"/>
    <x v="2"/>
  </r>
  <r>
    <x v="28"/>
    <x v="0"/>
    <x v="0"/>
    <x v="1"/>
    <x v="28"/>
    <x v="28"/>
    <x v="14"/>
    <x v="14"/>
    <x v="14"/>
    <x v="14"/>
    <x v="13"/>
    <x v="225"/>
    <x v="182"/>
    <x v="108"/>
    <x v="367"/>
    <x v="167"/>
    <x v="289"/>
    <x v="2"/>
    <x v="2"/>
  </r>
  <r>
    <x v="28"/>
    <x v="0"/>
    <x v="0"/>
    <x v="1"/>
    <x v="28"/>
    <x v="28"/>
    <x v="9"/>
    <x v="9"/>
    <x v="9"/>
    <x v="9"/>
    <x v="14"/>
    <x v="226"/>
    <x v="135"/>
    <x v="149"/>
    <x v="14"/>
    <x v="168"/>
    <x v="290"/>
    <x v="1"/>
    <x v="23"/>
  </r>
  <r>
    <x v="28"/>
    <x v="0"/>
    <x v="0"/>
    <x v="1"/>
    <x v="28"/>
    <x v="28"/>
    <x v="17"/>
    <x v="17"/>
    <x v="17"/>
    <x v="17"/>
    <x v="15"/>
    <x v="227"/>
    <x v="167"/>
    <x v="146"/>
    <x v="67"/>
    <x v="169"/>
    <x v="115"/>
    <x v="2"/>
    <x v="2"/>
  </r>
  <r>
    <x v="28"/>
    <x v="0"/>
    <x v="0"/>
    <x v="1"/>
    <x v="28"/>
    <x v="28"/>
    <x v="36"/>
    <x v="36"/>
    <x v="36"/>
    <x v="36"/>
    <x v="15"/>
    <x v="227"/>
    <x v="167"/>
    <x v="103"/>
    <x v="368"/>
    <x v="86"/>
    <x v="50"/>
    <x v="2"/>
    <x v="2"/>
  </r>
  <r>
    <x v="28"/>
    <x v="0"/>
    <x v="0"/>
    <x v="1"/>
    <x v="28"/>
    <x v="28"/>
    <x v="21"/>
    <x v="21"/>
    <x v="21"/>
    <x v="21"/>
    <x v="17"/>
    <x v="95"/>
    <x v="203"/>
    <x v="114"/>
    <x v="34"/>
    <x v="170"/>
    <x v="241"/>
    <x v="2"/>
    <x v="2"/>
  </r>
  <r>
    <x v="28"/>
    <x v="0"/>
    <x v="0"/>
    <x v="1"/>
    <x v="28"/>
    <x v="28"/>
    <x v="11"/>
    <x v="11"/>
    <x v="11"/>
    <x v="11"/>
    <x v="18"/>
    <x v="228"/>
    <x v="15"/>
    <x v="136"/>
    <x v="369"/>
    <x v="74"/>
    <x v="155"/>
    <x v="1"/>
    <x v="23"/>
  </r>
  <r>
    <x v="28"/>
    <x v="0"/>
    <x v="0"/>
    <x v="1"/>
    <x v="28"/>
    <x v="28"/>
    <x v="10"/>
    <x v="10"/>
    <x v="10"/>
    <x v="10"/>
    <x v="19"/>
    <x v="229"/>
    <x v="50"/>
    <x v="119"/>
    <x v="159"/>
    <x v="163"/>
    <x v="64"/>
    <x v="2"/>
    <x v="2"/>
  </r>
  <r>
    <x v="29"/>
    <x v="0"/>
    <x v="0"/>
    <x v="2"/>
    <x v="29"/>
    <x v="29"/>
    <x v="0"/>
    <x v="0"/>
    <x v="0"/>
    <x v="0"/>
    <x v="0"/>
    <x v="140"/>
    <x v="254"/>
    <x v="184"/>
    <x v="242"/>
    <x v="72"/>
    <x v="32"/>
    <x v="2"/>
    <x v="2"/>
  </r>
  <r>
    <x v="29"/>
    <x v="0"/>
    <x v="0"/>
    <x v="2"/>
    <x v="29"/>
    <x v="29"/>
    <x v="1"/>
    <x v="1"/>
    <x v="1"/>
    <x v="1"/>
    <x v="1"/>
    <x v="43"/>
    <x v="255"/>
    <x v="168"/>
    <x v="370"/>
    <x v="44"/>
    <x v="291"/>
    <x v="2"/>
    <x v="2"/>
  </r>
  <r>
    <x v="29"/>
    <x v="0"/>
    <x v="0"/>
    <x v="2"/>
    <x v="29"/>
    <x v="29"/>
    <x v="4"/>
    <x v="4"/>
    <x v="4"/>
    <x v="4"/>
    <x v="2"/>
    <x v="230"/>
    <x v="256"/>
    <x v="185"/>
    <x v="371"/>
    <x v="41"/>
    <x v="242"/>
    <x v="1"/>
    <x v="11"/>
  </r>
  <r>
    <x v="29"/>
    <x v="0"/>
    <x v="0"/>
    <x v="2"/>
    <x v="29"/>
    <x v="29"/>
    <x v="5"/>
    <x v="5"/>
    <x v="5"/>
    <x v="5"/>
    <x v="3"/>
    <x v="51"/>
    <x v="159"/>
    <x v="172"/>
    <x v="372"/>
    <x v="108"/>
    <x v="292"/>
    <x v="2"/>
    <x v="2"/>
  </r>
  <r>
    <x v="29"/>
    <x v="0"/>
    <x v="0"/>
    <x v="2"/>
    <x v="29"/>
    <x v="29"/>
    <x v="6"/>
    <x v="6"/>
    <x v="6"/>
    <x v="6"/>
    <x v="4"/>
    <x v="204"/>
    <x v="257"/>
    <x v="30"/>
    <x v="373"/>
    <x v="100"/>
    <x v="25"/>
    <x v="2"/>
    <x v="2"/>
  </r>
  <r>
    <x v="29"/>
    <x v="0"/>
    <x v="0"/>
    <x v="2"/>
    <x v="29"/>
    <x v="29"/>
    <x v="16"/>
    <x v="16"/>
    <x v="16"/>
    <x v="16"/>
    <x v="5"/>
    <x v="52"/>
    <x v="43"/>
    <x v="117"/>
    <x v="162"/>
    <x v="66"/>
    <x v="293"/>
    <x v="2"/>
    <x v="2"/>
  </r>
  <r>
    <x v="29"/>
    <x v="0"/>
    <x v="0"/>
    <x v="2"/>
    <x v="29"/>
    <x v="29"/>
    <x v="2"/>
    <x v="2"/>
    <x v="2"/>
    <x v="2"/>
    <x v="6"/>
    <x v="118"/>
    <x v="258"/>
    <x v="186"/>
    <x v="374"/>
    <x v="81"/>
    <x v="294"/>
    <x v="2"/>
    <x v="2"/>
  </r>
  <r>
    <x v="29"/>
    <x v="0"/>
    <x v="0"/>
    <x v="2"/>
    <x v="29"/>
    <x v="29"/>
    <x v="3"/>
    <x v="3"/>
    <x v="3"/>
    <x v="3"/>
    <x v="7"/>
    <x v="81"/>
    <x v="141"/>
    <x v="103"/>
    <x v="229"/>
    <x v="111"/>
    <x v="2"/>
    <x v="2"/>
    <x v="2"/>
  </r>
  <r>
    <x v="29"/>
    <x v="0"/>
    <x v="0"/>
    <x v="2"/>
    <x v="29"/>
    <x v="29"/>
    <x v="36"/>
    <x v="36"/>
    <x v="36"/>
    <x v="36"/>
    <x v="8"/>
    <x v="152"/>
    <x v="110"/>
    <x v="152"/>
    <x v="193"/>
    <x v="43"/>
    <x v="188"/>
    <x v="2"/>
    <x v="2"/>
  </r>
  <r>
    <x v="29"/>
    <x v="0"/>
    <x v="0"/>
    <x v="2"/>
    <x v="29"/>
    <x v="29"/>
    <x v="13"/>
    <x v="13"/>
    <x v="13"/>
    <x v="13"/>
    <x v="9"/>
    <x v="110"/>
    <x v="10"/>
    <x v="67"/>
    <x v="344"/>
    <x v="55"/>
    <x v="59"/>
    <x v="2"/>
    <x v="2"/>
  </r>
  <r>
    <x v="29"/>
    <x v="0"/>
    <x v="0"/>
    <x v="2"/>
    <x v="29"/>
    <x v="29"/>
    <x v="15"/>
    <x v="15"/>
    <x v="15"/>
    <x v="15"/>
    <x v="10"/>
    <x v="73"/>
    <x v="12"/>
    <x v="67"/>
    <x v="344"/>
    <x v="84"/>
    <x v="279"/>
    <x v="2"/>
    <x v="2"/>
  </r>
  <r>
    <x v="29"/>
    <x v="0"/>
    <x v="0"/>
    <x v="2"/>
    <x v="29"/>
    <x v="29"/>
    <x v="8"/>
    <x v="8"/>
    <x v="8"/>
    <x v="8"/>
    <x v="10"/>
    <x v="73"/>
    <x v="12"/>
    <x v="120"/>
    <x v="375"/>
    <x v="110"/>
    <x v="51"/>
    <x v="2"/>
    <x v="2"/>
  </r>
  <r>
    <x v="29"/>
    <x v="0"/>
    <x v="0"/>
    <x v="2"/>
    <x v="29"/>
    <x v="29"/>
    <x v="34"/>
    <x v="34"/>
    <x v="34"/>
    <x v="34"/>
    <x v="10"/>
    <x v="73"/>
    <x v="12"/>
    <x v="121"/>
    <x v="130"/>
    <x v="100"/>
    <x v="25"/>
    <x v="2"/>
    <x v="2"/>
  </r>
  <r>
    <x v="29"/>
    <x v="0"/>
    <x v="0"/>
    <x v="2"/>
    <x v="29"/>
    <x v="29"/>
    <x v="12"/>
    <x v="12"/>
    <x v="12"/>
    <x v="12"/>
    <x v="10"/>
    <x v="73"/>
    <x v="12"/>
    <x v="142"/>
    <x v="376"/>
    <x v="72"/>
    <x v="32"/>
    <x v="2"/>
    <x v="2"/>
  </r>
  <r>
    <x v="29"/>
    <x v="0"/>
    <x v="0"/>
    <x v="2"/>
    <x v="29"/>
    <x v="29"/>
    <x v="10"/>
    <x v="10"/>
    <x v="10"/>
    <x v="10"/>
    <x v="14"/>
    <x v="112"/>
    <x v="183"/>
    <x v="152"/>
    <x v="193"/>
    <x v="44"/>
    <x v="291"/>
    <x v="2"/>
    <x v="2"/>
  </r>
  <r>
    <x v="29"/>
    <x v="0"/>
    <x v="0"/>
    <x v="2"/>
    <x v="29"/>
    <x v="29"/>
    <x v="41"/>
    <x v="41"/>
    <x v="41"/>
    <x v="41"/>
    <x v="14"/>
    <x v="112"/>
    <x v="183"/>
    <x v="124"/>
    <x v="250"/>
    <x v="101"/>
    <x v="171"/>
    <x v="2"/>
    <x v="2"/>
  </r>
  <r>
    <x v="29"/>
    <x v="0"/>
    <x v="0"/>
    <x v="2"/>
    <x v="29"/>
    <x v="29"/>
    <x v="19"/>
    <x v="19"/>
    <x v="19"/>
    <x v="19"/>
    <x v="16"/>
    <x v="114"/>
    <x v="35"/>
    <x v="146"/>
    <x v="249"/>
    <x v="48"/>
    <x v="267"/>
    <x v="2"/>
    <x v="2"/>
  </r>
  <r>
    <x v="29"/>
    <x v="0"/>
    <x v="0"/>
    <x v="2"/>
    <x v="29"/>
    <x v="29"/>
    <x v="17"/>
    <x v="17"/>
    <x v="17"/>
    <x v="17"/>
    <x v="17"/>
    <x v="86"/>
    <x v="247"/>
    <x v="51"/>
    <x v="316"/>
    <x v="83"/>
    <x v="11"/>
    <x v="2"/>
    <x v="2"/>
  </r>
  <r>
    <x v="29"/>
    <x v="0"/>
    <x v="0"/>
    <x v="2"/>
    <x v="29"/>
    <x v="29"/>
    <x v="11"/>
    <x v="11"/>
    <x v="11"/>
    <x v="11"/>
    <x v="17"/>
    <x v="86"/>
    <x v="247"/>
    <x v="116"/>
    <x v="95"/>
    <x v="48"/>
    <x v="267"/>
    <x v="2"/>
    <x v="2"/>
  </r>
  <r>
    <x v="29"/>
    <x v="0"/>
    <x v="0"/>
    <x v="2"/>
    <x v="29"/>
    <x v="29"/>
    <x v="18"/>
    <x v="18"/>
    <x v="18"/>
    <x v="18"/>
    <x v="19"/>
    <x v="128"/>
    <x v="36"/>
    <x v="59"/>
    <x v="153"/>
    <x v="59"/>
    <x v="47"/>
    <x v="2"/>
    <x v="2"/>
  </r>
  <r>
    <x v="30"/>
    <x v="0"/>
    <x v="0"/>
    <x v="2"/>
    <x v="30"/>
    <x v="30"/>
    <x v="1"/>
    <x v="1"/>
    <x v="1"/>
    <x v="1"/>
    <x v="0"/>
    <x v="135"/>
    <x v="259"/>
    <x v="187"/>
    <x v="39"/>
    <x v="117"/>
    <x v="295"/>
    <x v="2"/>
    <x v="2"/>
  </r>
  <r>
    <x v="30"/>
    <x v="0"/>
    <x v="0"/>
    <x v="2"/>
    <x v="30"/>
    <x v="30"/>
    <x v="2"/>
    <x v="2"/>
    <x v="2"/>
    <x v="2"/>
    <x v="1"/>
    <x v="231"/>
    <x v="260"/>
    <x v="188"/>
    <x v="377"/>
    <x v="107"/>
    <x v="227"/>
    <x v="2"/>
    <x v="2"/>
  </r>
  <r>
    <x v="30"/>
    <x v="0"/>
    <x v="0"/>
    <x v="2"/>
    <x v="30"/>
    <x v="30"/>
    <x v="6"/>
    <x v="6"/>
    <x v="6"/>
    <x v="6"/>
    <x v="2"/>
    <x v="232"/>
    <x v="58"/>
    <x v="169"/>
    <x v="378"/>
    <x v="41"/>
    <x v="54"/>
    <x v="2"/>
    <x v="2"/>
  </r>
  <r>
    <x v="30"/>
    <x v="0"/>
    <x v="0"/>
    <x v="2"/>
    <x v="30"/>
    <x v="30"/>
    <x v="4"/>
    <x v="4"/>
    <x v="4"/>
    <x v="4"/>
    <x v="3"/>
    <x v="233"/>
    <x v="261"/>
    <x v="73"/>
    <x v="379"/>
    <x v="72"/>
    <x v="214"/>
    <x v="1"/>
    <x v="24"/>
  </r>
  <r>
    <x v="30"/>
    <x v="0"/>
    <x v="0"/>
    <x v="2"/>
    <x v="30"/>
    <x v="30"/>
    <x v="0"/>
    <x v="0"/>
    <x v="0"/>
    <x v="0"/>
    <x v="4"/>
    <x v="100"/>
    <x v="170"/>
    <x v="185"/>
    <x v="380"/>
    <x v="79"/>
    <x v="185"/>
    <x v="2"/>
    <x v="2"/>
  </r>
  <r>
    <x v="30"/>
    <x v="0"/>
    <x v="0"/>
    <x v="2"/>
    <x v="30"/>
    <x v="30"/>
    <x v="3"/>
    <x v="3"/>
    <x v="3"/>
    <x v="3"/>
    <x v="5"/>
    <x v="144"/>
    <x v="122"/>
    <x v="148"/>
    <x v="121"/>
    <x v="115"/>
    <x v="45"/>
    <x v="2"/>
    <x v="2"/>
  </r>
  <r>
    <x v="30"/>
    <x v="0"/>
    <x v="0"/>
    <x v="2"/>
    <x v="30"/>
    <x v="30"/>
    <x v="5"/>
    <x v="5"/>
    <x v="5"/>
    <x v="5"/>
    <x v="6"/>
    <x v="146"/>
    <x v="60"/>
    <x v="151"/>
    <x v="3"/>
    <x v="108"/>
    <x v="296"/>
    <x v="2"/>
    <x v="2"/>
  </r>
  <r>
    <x v="30"/>
    <x v="0"/>
    <x v="0"/>
    <x v="2"/>
    <x v="30"/>
    <x v="30"/>
    <x v="7"/>
    <x v="7"/>
    <x v="7"/>
    <x v="7"/>
    <x v="7"/>
    <x v="102"/>
    <x v="149"/>
    <x v="189"/>
    <x v="280"/>
    <x v="77"/>
    <x v="6"/>
    <x v="2"/>
    <x v="2"/>
  </r>
  <r>
    <x v="30"/>
    <x v="0"/>
    <x v="0"/>
    <x v="2"/>
    <x v="30"/>
    <x v="30"/>
    <x v="12"/>
    <x v="12"/>
    <x v="12"/>
    <x v="12"/>
    <x v="8"/>
    <x v="204"/>
    <x v="211"/>
    <x v="112"/>
    <x v="10"/>
    <x v="85"/>
    <x v="31"/>
    <x v="2"/>
    <x v="2"/>
  </r>
  <r>
    <x v="30"/>
    <x v="0"/>
    <x v="0"/>
    <x v="2"/>
    <x v="30"/>
    <x v="30"/>
    <x v="15"/>
    <x v="15"/>
    <x v="15"/>
    <x v="15"/>
    <x v="9"/>
    <x v="104"/>
    <x v="115"/>
    <x v="108"/>
    <x v="215"/>
    <x v="114"/>
    <x v="297"/>
    <x v="2"/>
    <x v="2"/>
  </r>
  <r>
    <x v="30"/>
    <x v="0"/>
    <x v="0"/>
    <x v="2"/>
    <x v="30"/>
    <x v="30"/>
    <x v="13"/>
    <x v="13"/>
    <x v="13"/>
    <x v="13"/>
    <x v="10"/>
    <x v="80"/>
    <x v="29"/>
    <x v="96"/>
    <x v="356"/>
    <x v="171"/>
    <x v="298"/>
    <x v="2"/>
    <x v="2"/>
  </r>
  <r>
    <x v="30"/>
    <x v="0"/>
    <x v="0"/>
    <x v="2"/>
    <x v="30"/>
    <x v="30"/>
    <x v="8"/>
    <x v="8"/>
    <x v="8"/>
    <x v="8"/>
    <x v="11"/>
    <x v="52"/>
    <x v="262"/>
    <x v="144"/>
    <x v="313"/>
    <x v="72"/>
    <x v="214"/>
    <x v="2"/>
    <x v="2"/>
  </r>
  <r>
    <x v="30"/>
    <x v="0"/>
    <x v="0"/>
    <x v="2"/>
    <x v="30"/>
    <x v="30"/>
    <x v="36"/>
    <x v="36"/>
    <x v="36"/>
    <x v="36"/>
    <x v="12"/>
    <x v="68"/>
    <x v="124"/>
    <x v="149"/>
    <x v="381"/>
    <x v="160"/>
    <x v="30"/>
    <x v="2"/>
    <x v="2"/>
  </r>
  <r>
    <x v="30"/>
    <x v="0"/>
    <x v="0"/>
    <x v="2"/>
    <x v="30"/>
    <x v="30"/>
    <x v="14"/>
    <x v="14"/>
    <x v="14"/>
    <x v="14"/>
    <x v="12"/>
    <x v="68"/>
    <x v="124"/>
    <x v="47"/>
    <x v="84"/>
    <x v="163"/>
    <x v="13"/>
    <x v="2"/>
    <x v="2"/>
  </r>
  <r>
    <x v="30"/>
    <x v="0"/>
    <x v="0"/>
    <x v="2"/>
    <x v="30"/>
    <x v="30"/>
    <x v="20"/>
    <x v="20"/>
    <x v="20"/>
    <x v="20"/>
    <x v="14"/>
    <x v="69"/>
    <x v="135"/>
    <x v="108"/>
    <x v="215"/>
    <x v="120"/>
    <x v="47"/>
    <x v="2"/>
    <x v="2"/>
  </r>
  <r>
    <x v="30"/>
    <x v="0"/>
    <x v="0"/>
    <x v="2"/>
    <x v="30"/>
    <x v="30"/>
    <x v="16"/>
    <x v="16"/>
    <x v="16"/>
    <x v="16"/>
    <x v="15"/>
    <x v="81"/>
    <x v="125"/>
    <x v="84"/>
    <x v="70"/>
    <x v="161"/>
    <x v="278"/>
    <x v="2"/>
    <x v="2"/>
  </r>
  <r>
    <x v="30"/>
    <x v="0"/>
    <x v="0"/>
    <x v="2"/>
    <x v="30"/>
    <x v="30"/>
    <x v="9"/>
    <x v="9"/>
    <x v="9"/>
    <x v="9"/>
    <x v="16"/>
    <x v="82"/>
    <x v="14"/>
    <x v="54"/>
    <x v="9"/>
    <x v="172"/>
    <x v="198"/>
    <x v="1"/>
    <x v="24"/>
  </r>
  <r>
    <x v="30"/>
    <x v="0"/>
    <x v="0"/>
    <x v="2"/>
    <x v="30"/>
    <x v="30"/>
    <x v="21"/>
    <x v="21"/>
    <x v="21"/>
    <x v="21"/>
    <x v="16"/>
    <x v="82"/>
    <x v="14"/>
    <x v="67"/>
    <x v="218"/>
    <x v="96"/>
    <x v="168"/>
    <x v="2"/>
    <x v="2"/>
  </r>
  <r>
    <x v="30"/>
    <x v="0"/>
    <x v="0"/>
    <x v="2"/>
    <x v="30"/>
    <x v="30"/>
    <x v="41"/>
    <x v="41"/>
    <x v="41"/>
    <x v="41"/>
    <x v="18"/>
    <x v="54"/>
    <x v="16"/>
    <x v="120"/>
    <x v="382"/>
    <x v="49"/>
    <x v="119"/>
    <x v="2"/>
    <x v="2"/>
  </r>
  <r>
    <x v="30"/>
    <x v="0"/>
    <x v="0"/>
    <x v="2"/>
    <x v="30"/>
    <x v="30"/>
    <x v="11"/>
    <x v="11"/>
    <x v="11"/>
    <x v="11"/>
    <x v="19"/>
    <x v="71"/>
    <x v="51"/>
    <x v="149"/>
    <x v="381"/>
    <x v="79"/>
    <x v="185"/>
    <x v="1"/>
    <x v="24"/>
  </r>
  <r>
    <x v="31"/>
    <x v="0"/>
    <x v="0"/>
    <x v="2"/>
    <x v="31"/>
    <x v="31"/>
    <x v="0"/>
    <x v="0"/>
    <x v="0"/>
    <x v="0"/>
    <x v="0"/>
    <x v="234"/>
    <x v="263"/>
    <x v="86"/>
    <x v="383"/>
    <x v="56"/>
    <x v="299"/>
    <x v="2"/>
    <x v="2"/>
  </r>
  <r>
    <x v="31"/>
    <x v="0"/>
    <x v="0"/>
    <x v="2"/>
    <x v="31"/>
    <x v="31"/>
    <x v="1"/>
    <x v="1"/>
    <x v="1"/>
    <x v="1"/>
    <x v="1"/>
    <x v="235"/>
    <x v="264"/>
    <x v="190"/>
    <x v="384"/>
    <x v="83"/>
    <x v="181"/>
    <x v="2"/>
    <x v="2"/>
  </r>
  <r>
    <x v="31"/>
    <x v="0"/>
    <x v="0"/>
    <x v="2"/>
    <x v="31"/>
    <x v="31"/>
    <x v="4"/>
    <x v="4"/>
    <x v="4"/>
    <x v="4"/>
    <x v="2"/>
    <x v="42"/>
    <x v="210"/>
    <x v="191"/>
    <x v="385"/>
    <x v="51"/>
    <x v="300"/>
    <x v="2"/>
    <x v="2"/>
  </r>
  <r>
    <x v="31"/>
    <x v="0"/>
    <x v="0"/>
    <x v="2"/>
    <x v="31"/>
    <x v="31"/>
    <x v="5"/>
    <x v="5"/>
    <x v="5"/>
    <x v="5"/>
    <x v="3"/>
    <x v="236"/>
    <x v="84"/>
    <x v="129"/>
    <x v="386"/>
    <x v="115"/>
    <x v="12"/>
    <x v="2"/>
    <x v="2"/>
  </r>
  <r>
    <x v="31"/>
    <x v="0"/>
    <x v="0"/>
    <x v="2"/>
    <x v="31"/>
    <x v="31"/>
    <x v="6"/>
    <x v="6"/>
    <x v="6"/>
    <x v="6"/>
    <x v="4"/>
    <x v="44"/>
    <x v="265"/>
    <x v="40"/>
    <x v="351"/>
    <x v="113"/>
    <x v="252"/>
    <x v="2"/>
    <x v="2"/>
  </r>
  <r>
    <x v="31"/>
    <x v="0"/>
    <x v="0"/>
    <x v="2"/>
    <x v="31"/>
    <x v="31"/>
    <x v="2"/>
    <x v="2"/>
    <x v="2"/>
    <x v="2"/>
    <x v="5"/>
    <x v="237"/>
    <x v="218"/>
    <x v="101"/>
    <x v="123"/>
    <x v="113"/>
    <x v="252"/>
    <x v="2"/>
    <x v="2"/>
  </r>
  <r>
    <x v="31"/>
    <x v="0"/>
    <x v="0"/>
    <x v="2"/>
    <x v="31"/>
    <x v="31"/>
    <x v="3"/>
    <x v="3"/>
    <x v="3"/>
    <x v="3"/>
    <x v="6"/>
    <x v="238"/>
    <x v="187"/>
    <x v="132"/>
    <x v="189"/>
    <x v="117"/>
    <x v="119"/>
    <x v="2"/>
    <x v="2"/>
  </r>
  <r>
    <x v="31"/>
    <x v="0"/>
    <x v="0"/>
    <x v="2"/>
    <x v="31"/>
    <x v="31"/>
    <x v="15"/>
    <x v="15"/>
    <x v="15"/>
    <x v="15"/>
    <x v="7"/>
    <x v="239"/>
    <x v="112"/>
    <x v="108"/>
    <x v="271"/>
    <x v="127"/>
    <x v="301"/>
    <x v="2"/>
    <x v="2"/>
  </r>
  <r>
    <x v="31"/>
    <x v="0"/>
    <x v="0"/>
    <x v="2"/>
    <x v="31"/>
    <x v="31"/>
    <x v="12"/>
    <x v="12"/>
    <x v="12"/>
    <x v="12"/>
    <x v="8"/>
    <x v="208"/>
    <x v="151"/>
    <x v="192"/>
    <x v="190"/>
    <x v="51"/>
    <x v="300"/>
    <x v="2"/>
    <x v="2"/>
  </r>
  <r>
    <x v="31"/>
    <x v="0"/>
    <x v="0"/>
    <x v="2"/>
    <x v="31"/>
    <x v="31"/>
    <x v="14"/>
    <x v="14"/>
    <x v="14"/>
    <x v="14"/>
    <x v="9"/>
    <x v="79"/>
    <x v="47"/>
    <x v="57"/>
    <x v="172"/>
    <x v="76"/>
    <x v="302"/>
    <x v="2"/>
    <x v="2"/>
  </r>
  <r>
    <x v="31"/>
    <x v="0"/>
    <x v="0"/>
    <x v="2"/>
    <x v="31"/>
    <x v="31"/>
    <x v="7"/>
    <x v="7"/>
    <x v="7"/>
    <x v="7"/>
    <x v="10"/>
    <x v="80"/>
    <x v="64"/>
    <x v="193"/>
    <x v="387"/>
    <x v="131"/>
    <x v="303"/>
    <x v="2"/>
    <x v="2"/>
  </r>
  <r>
    <x v="31"/>
    <x v="0"/>
    <x v="0"/>
    <x v="2"/>
    <x v="31"/>
    <x v="31"/>
    <x v="9"/>
    <x v="9"/>
    <x v="9"/>
    <x v="9"/>
    <x v="11"/>
    <x v="53"/>
    <x v="99"/>
    <x v="84"/>
    <x v="96"/>
    <x v="125"/>
    <x v="304"/>
    <x v="2"/>
    <x v="2"/>
  </r>
  <r>
    <x v="31"/>
    <x v="0"/>
    <x v="0"/>
    <x v="2"/>
    <x v="31"/>
    <x v="31"/>
    <x v="17"/>
    <x v="17"/>
    <x v="17"/>
    <x v="17"/>
    <x v="12"/>
    <x v="117"/>
    <x v="154"/>
    <x v="55"/>
    <x v="292"/>
    <x v="127"/>
    <x v="301"/>
    <x v="2"/>
    <x v="2"/>
  </r>
  <r>
    <x v="31"/>
    <x v="0"/>
    <x v="0"/>
    <x v="2"/>
    <x v="31"/>
    <x v="31"/>
    <x v="8"/>
    <x v="8"/>
    <x v="8"/>
    <x v="8"/>
    <x v="13"/>
    <x v="118"/>
    <x v="115"/>
    <x v="147"/>
    <x v="375"/>
    <x v="46"/>
    <x v="137"/>
    <x v="2"/>
    <x v="2"/>
  </r>
  <r>
    <x v="31"/>
    <x v="0"/>
    <x v="0"/>
    <x v="2"/>
    <x v="31"/>
    <x v="31"/>
    <x v="21"/>
    <x v="21"/>
    <x v="21"/>
    <x v="21"/>
    <x v="14"/>
    <x v="159"/>
    <x v="181"/>
    <x v="130"/>
    <x v="388"/>
    <x v="69"/>
    <x v="305"/>
    <x v="2"/>
    <x v="2"/>
  </r>
  <r>
    <x v="31"/>
    <x v="0"/>
    <x v="0"/>
    <x v="2"/>
    <x v="31"/>
    <x v="31"/>
    <x v="22"/>
    <x v="22"/>
    <x v="22"/>
    <x v="22"/>
    <x v="15"/>
    <x v="70"/>
    <x v="124"/>
    <x v="117"/>
    <x v="85"/>
    <x v="124"/>
    <x v="16"/>
    <x v="2"/>
    <x v="2"/>
  </r>
  <r>
    <x v="31"/>
    <x v="0"/>
    <x v="0"/>
    <x v="2"/>
    <x v="31"/>
    <x v="31"/>
    <x v="11"/>
    <x v="11"/>
    <x v="11"/>
    <x v="11"/>
    <x v="16"/>
    <x v="119"/>
    <x v="125"/>
    <x v="94"/>
    <x v="389"/>
    <x v="84"/>
    <x v="221"/>
    <x v="2"/>
    <x v="2"/>
  </r>
  <r>
    <x v="31"/>
    <x v="0"/>
    <x v="0"/>
    <x v="2"/>
    <x v="31"/>
    <x v="31"/>
    <x v="10"/>
    <x v="10"/>
    <x v="10"/>
    <x v="10"/>
    <x v="17"/>
    <x v="54"/>
    <x v="102"/>
    <x v="74"/>
    <x v="376"/>
    <x v="117"/>
    <x v="119"/>
    <x v="2"/>
    <x v="2"/>
  </r>
  <r>
    <x v="31"/>
    <x v="0"/>
    <x v="0"/>
    <x v="2"/>
    <x v="31"/>
    <x v="31"/>
    <x v="13"/>
    <x v="13"/>
    <x v="13"/>
    <x v="13"/>
    <x v="18"/>
    <x v="55"/>
    <x v="33"/>
    <x v="67"/>
    <x v="204"/>
    <x v="124"/>
    <x v="16"/>
    <x v="2"/>
    <x v="2"/>
  </r>
  <r>
    <x v="31"/>
    <x v="0"/>
    <x v="0"/>
    <x v="2"/>
    <x v="31"/>
    <x v="31"/>
    <x v="27"/>
    <x v="27"/>
    <x v="27"/>
    <x v="27"/>
    <x v="19"/>
    <x v="56"/>
    <x v="143"/>
    <x v="173"/>
    <x v="274"/>
    <x v="109"/>
    <x v="95"/>
    <x v="2"/>
    <x v="2"/>
  </r>
  <r>
    <x v="32"/>
    <x v="0"/>
    <x v="0"/>
    <x v="3"/>
    <x v="32"/>
    <x v="32"/>
    <x v="1"/>
    <x v="1"/>
    <x v="1"/>
    <x v="1"/>
    <x v="0"/>
    <x v="240"/>
    <x v="266"/>
    <x v="194"/>
    <x v="103"/>
    <x v="50"/>
    <x v="306"/>
    <x v="2"/>
    <x v="2"/>
  </r>
  <r>
    <x v="32"/>
    <x v="0"/>
    <x v="0"/>
    <x v="3"/>
    <x v="32"/>
    <x v="32"/>
    <x v="2"/>
    <x v="2"/>
    <x v="2"/>
    <x v="2"/>
    <x v="1"/>
    <x v="241"/>
    <x v="267"/>
    <x v="195"/>
    <x v="384"/>
    <x v="82"/>
    <x v="171"/>
    <x v="2"/>
    <x v="2"/>
  </r>
  <r>
    <x v="32"/>
    <x v="0"/>
    <x v="0"/>
    <x v="3"/>
    <x v="32"/>
    <x v="32"/>
    <x v="0"/>
    <x v="0"/>
    <x v="0"/>
    <x v="0"/>
    <x v="2"/>
    <x v="242"/>
    <x v="268"/>
    <x v="196"/>
    <x v="277"/>
    <x v="94"/>
    <x v="90"/>
    <x v="2"/>
    <x v="2"/>
  </r>
  <r>
    <x v="32"/>
    <x v="0"/>
    <x v="0"/>
    <x v="3"/>
    <x v="32"/>
    <x v="32"/>
    <x v="7"/>
    <x v="7"/>
    <x v="7"/>
    <x v="7"/>
    <x v="3"/>
    <x v="221"/>
    <x v="238"/>
    <x v="197"/>
    <x v="390"/>
    <x v="113"/>
    <x v="118"/>
    <x v="2"/>
    <x v="2"/>
  </r>
  <r>
    <x v="32"/>
    <x v="0"/>
    <x v="0"/>
    <x v="3"/>
    <x v="32"/>
    <x v="32"/>
    <x v="5"/>
    <x v="5"/>
    <x v="5"/>
    <x v="5"/>
    <x v="4"/>
    <x v="243"/>
    <x v="84"/>
    <x v="198"/>
    <x v="391"/>
    <x v="115"/>
    <x v="307"/>
    <x v="2"/>
    <x v="2"/>
  </r>
  <r>
    <x v="32"/>
    <x v="0"/>
    <x v="0"/>
    <x v="3"/>
    <x v="32"/>
    <x v="32"/>
    <x v="8"/>
    <x v="8"/>
    <x v="8"/>
    <x v="8"/>
    <x v="5"/>
    <x v="244"/>
    <x v="253"/>
    <x v="199"/>
    <x v="392"/>
    <x v="173"/>
    <x v="308"/>
    <x v="2"/>
    <x v="2"/>
  </r>
  <r>
    <x v="32"/>
    <x v="0"/>
    <x v="0"/>
    <x v="3"/>
    <x v="32"/>
    <x v="32"/>
    <x v="6"/>
    <x v="6"/>
    <x v="6"/>
    <x v="6"/>
    <x v="6"/>
    <x v="205"/>
    <x v="269"/>
    <x v="200"/>
    <x v="177"/>
    <x v="64"/>
    <x v="178"/>
    <x v="2"/>
    <x v="2"/>
  </r>
  <r>
    <x v="32"/>
    <x v="0"/>
    <x v="0"/>
    <x v="3"/>
    <x v="32"/>
    <x v="32"/>
    <x v="4"/>
    <x v="4"/>
    <x v="4"/>
    <x v="4"/>
    <x v="7"/>
    <x v="245"/>
    <x v="159"/>
    <x v="201"/>
    <x v="352"/>
    <x v="83"/>
    <x v="88"/>
    <x v="0"/>
    <x v="19"/>
  </r>
  <r>
    <x v="32"/>
    <x v="0"/>
    <x v="0"/>
    <x v="3"/>
    <x v="32"/>
    <x v="32"/>
    <x v="3"/>
    <x v="3"/>
    <x v="3"/>
    <x v="3"/>
    <x v="8"/>
    <x v="246"/>
    <x v="130"/>
    <x v="202"/>
    <x v="189"/>
    <x v="84"/>
    <x v="144"/>
    <x v="2"/>
    <x v="2"/>
  </r>
  <r>
    <x v="32"/>
    <x v="0"/>
    <x v="0"/>
    <x v="3"/>
    <x v="32"/>
    <x v="32"/>
    <x v="34"/>
    <x v="34"/>
    <x v="34"/>
    <x v="34"/>
    <x v="9"/>
    <x v="247"/>
    <x v="153"/>
    <x v="143"/>
    <x v="393"/>
    <x v="117"/>
    <x v="148"/>
    <x v="2"/>
    <x v="2"/>
  </r>
  <r>
    <x v="32"/>
    <x v="0"/>
    <x v="0"/>
    <x v="3"/>
    <x v="32"/>
    <x v="32"/>
    <x v="10"/>
    <x v="10"/>
    <x v="10"/>
    <x v="10"/>
    <x v="10"/>
    <x v="136"/>
    <x v="154"/>
    <x v="49"/>
    <x v="394"/>
    <x v="163"/>
    <x v="174"/>
    <x v="1"/>
    <x v="9"/>
  </r>
  <r>
    <x v="32"/>
    <x v="0"/>
    <x v="0"/>
    <x v="3"/>
    <x v="32"/>
    <x v="32"/>
    <x v="15"/>
    <x v="15"/>
    <x v="15"/>
    <x v="15"/>
    <x v="11"/>
    <x v="143"/>
    <x v="174"/>
    <x v="72"/>
    <x v="55"/>
    <x v="95"/>
    <x v="132"/>
    <x v="1"/>
    <x v="9"/>
  </r>
  <r>
    <x v="32"/>
    <x v="0"/>
    <x v="0"/>
    <x v="3"/>
    <x v="32"/>
    <x v="32"/>
    <x v="12"/>
    <x v="12"/>
    <x v="12"/>
    <x v="12"/>
    <x v="12"/>
    <x v="145"/>
    <x v="100"/>
    <x v="203"/>
    <x v="395"/>
    <x v="80"/>
    <x v="149"/>
    <x v="2"/>
    <x v="2"/>
  </r>
  <r>
    <x v="32"/>
    <x v="0"/>
    <x v="0"/>
    <x v="3"/>
    <x v="32"/>
    <x v="32"/>
    <x v="23"/>
    <x v="23"/>
    <x v="23"/>
    <x v="23"/>
    <x v="13"/>
    <x v="248"/>
    <x v="11"/>
    <x v="121"/>
    <x v="396"/>
    <x v="127"/>
    <x v="168"/>
    <x v="2"/>
    <x v="2"/>
  </r>
  <r>
    <x v="32"/>
    <x v="0"/>
    <x v="0"/>
    <x v="3"/>
    <x v="32"/>
    <x v="32"/>
    <x v="16"/>
    <x v="16"/>
    <x v="16"/>
    <x v="16"/>
    <x v="14"/>
    <x v="238"/>
    <x v="135"/>
    <x v="126"/>
    <x v="29"/>
    <x v="141"/>
    <x v="83"/>
    <x v="2"/>
    <x v="2"/>
  </r>
  <r>
    <x v="32"/>
    <x v="0"/>
    <x v="0"/>
    <x v="3"/>
    <x v="32"/>
    <x v="32"/>
    <x v="13"/>
    <x v="13"/>
    <x v="13"/>
    <x v="13"/>
    <x v="14"/>
    <x v="238"/>
    <x v="135"/>
    <x v="69"/>
    <x v="111"/>
    <x v="174"/>
    <x v="309"/>
    <x v="2"/>
    <x v="2"/>
  </r>
  <r>
    <x v="32"/>
    <x v="0"/>
    <x v="0"/>
    <x v="3"/>
    <x v="32"/>
    <x v="32"/>
    <x v="36"/>
    <x v="36"/>
    <x v="36"/>
    <x v="36"/>
    <x v="16"/>
    <x v="210"/>
    <x v="90"/>
    <x v="121"/>
    <x v="396"/>
    <x v="132"/>
    <x v="31"/>
    <x v="2"/>
    <x v="2"/>
  </r>
  <r>
    <x v="32"/>
    <x v="0"/>
    <x v="0"/>
    <x v="3"/>
    <x v="32"/>
    <x v="32"/>
    <x v="27"/>
    <x v="27"/>
    <x v="27"/>
    <x v="27"/>
    <x v="17"/>
    <x v="63"/>
    <x v="203"/>
    <x v="31"/>
    <x v="397"/>
    <x v="46"/>
    <x v="67"/>
    <x v="2"/>
    <x v="2"/>
  </r>
  <r>
    <x v="32"/>
    <x v="0"/>
    <x v="0"/>
    <x v="3"/>
    <x v="32"/>
    <x v="32"/>
    <x v="22"/>
    <x v="22"/>
    <x v="22"/>
    <x v="22"/>
    <x v="18"/>
    <x v="155"/>
    <x v="34"/>
    <x v="93"/>
    <x v="53"/>
    <x v="114"/>
    <x v="310"/>
    <x v="2"/>
    <x v="2"/>
  </r>
  <r>
    <x v="32"/>
    <x v="0"/>
    <x v="0"/>
    <x v="3"/>
    <x v="32"/>
    <x v="32"/>
    <x v="19"/>
    <x v="19"/>
    <x v="19"/>
    <x v="19"/>
    <x v="19"/>
    <x v="127"/>
    <x v="35"/>
    <x v="82"/>
    <x v="398"/>
    <x v="161"/>
    <x v="55"/>
    <x v="2"/>
    <x v="2"/>
  </r>
  <r>
    <x v="33"/>
    <x v="0"/>
    <x v="0"/>
    <x v="3"/>
    <x v="33"/>
    <x v="33"/>
    <x v="0"/>
    <x v="0"/>
    <x v="0"/>
    <x v="0"/>
    <x v="0"/>
    <x v="249"/>
    <x v="270"/>
    <x v="204"/>
    <x v="399"/>
    <x v="97"/>
    <x v="298"/>
    <x v="1"/>
    <x v="25"/>
  </r>
  <r>
    <x v="33"/>
    <x v="0"/>
    <x v="0"/>
    <x v="3"/>
    <x v="33"/>
    <x v="33"/>
    <x v="1"/>
    <x v="1"/>
    <x v="1"/>
    <x v="1"/>
    <x v="1"/>
    <x v="250"/>
    <x v="271"/>
    <x v="205"/>
    <x v="400"/>
    <x v="59"/>
    <x v="205"/>
    <x v="2"/>
    <x v="2"/>
  </r>
  <r>
    <x v="33"/>
    <x v="0"/>
    <x v="0"/>
    <x v="3"/>
    <x v="33"/>
    <x v="33"/>
    <x v="2"/>
    <x v="2"/>
    <x v="2"/>
    <x v="2"/>
    <x v="2"/>
    <x v="251"/>
    <x v="239"/>
    <x v="206"/>
    <x v="401"/>
    <x v="109"/>
    <x v="226"/>
    <x v="1"/>
    <x v="25"/>
  </r>
  <r>
    <x v="33"/>
    <x v="0"/>
    <x v="0"/>
    <x v="3"/>
    <x v="33"/>
    <x v="33"/>
    <x v="7"/>
    <x v="7"/>
    <x v="7"/>
    <x v="7"/>
    <x v="3"/>
    <x v="206"/>
    <x v="146"/>
    <x v="184"/>
    <x v="245"/>
    <x v="106"/>
    <x v="311"/>
    <x v="2"/>
    <x v="2"/>
  </r>
  <r>
    <x v="33"/>
    <x v="0"/>
    <x v="0"/>
    <x v="3"/>
    <x v="33"/>
    <x v="33"/>
    <x v="3"/>
    <x v="3"/>
    <x v="3"/>
    <x v="3"/>
    <x v="4"/>
    <x v="175"/>
    <x v="106"/>
    <x v="135"/>
    <x v="163"/>
    <x v="49"/>
    <x v="229"/>
    <x v="2"/>
    <x v="2"/>
  </r>
  <r>
    <x v="33"/>
    <x v="0"/>
    <x v="0"/>
    <x v="3"/>
    <x v="33"/>
    <x v="33"/>
    <x v="6"/>
    <x v="6"/>
    <x v="6"/>
    <x v="6"/>
    <x v="5"/>
    <x v="252"/>
    <x v="272"/>
    <x v="207"/>
    <x v="402"/>
    <x v="44"/>
    <x v="312"/>
    <x v="2"/>
    <x v="2"/>
  </r>
  <r>
    <x v="33"/>
    <x v="0"/>
    <x v="0"/>
    <x v="3"/>
    <x v="33"/>
    <x v="33"/>
    <x v="4"/>
    <x v="4"/>
    <x v="4"/>
    <x v="4"/>
    <x v="6"/>
    <x v="126"/>
    <x v="273"/>
    <x v="43"/>
    <x v="46"/>
    <x v="129"/>
    <x v="171"/>
    <x v="1"/>
    <x v="25"/>
  </r>
  <r>
    <x v="33"/>
    <x v="0"/>
    <x v="0"/>
    <x v="3"/>
    <x v="33"/>
    <x v="33"/>
    <x v="5"/>
    <x v="5"/>
    <x v="5"/>
    <x v="5"/>
    <x v="7"/>
    <x v="253"/>
    <x v="27"/>
    <x v="143"/>
    <x v="284"/>
    <x v="44"/>
    <x v="312"/>
    <x v="2"/>
    <x v="2"/>
  </r>
  <r>
    <x v="33"/>
    <x v="0"/>
    <x v="0"/>
    <x v="3"/>
    <x v="33"/>
    <x v="33"/>
    <x v="8"/>
    <x v="8"/>
    <x v="8"/>
    <x v="8"/>
    <x v="8"/>
    <x v="237"/>
    <x v="78"/>
    <x v="145"/>
    <x v="115"/>
    <x v="124"/>
    <x v="313"/>
    <x v="2"/>
    <x v="2"/>
  </r>
  <r>
    <x v="33"/>
    <x v="0"/>
    <x v="0"/>
    <x v="3"/>
    <x v="33"/>
    <x v="33"/>
    <x v="12"/>
    <x v="12"/>
    <x v="12"/>
    <x v="12"/>
    <x v="9"/>
    <x v="63"/>
    <x v="112"/>
    <x v="203"/>
    <x v="403"/>
    <x v="59"/>
    <x v="205"/>
    <x v="2"/>
    <x v="2"/>
  </r>
  <r>
    <x v="33"/>
    <x v="0"/>
    <x v="0"/>
    <x v="3"/>
    <x v="33"/>
    <x v="33"/>
    <x v="13"/>
    <x v="13"/>
    <x v="13"/>
    <x v="13"/>
    <x v="10"/>
    <x v="65"/>
    <x v="88"/>
    <x v="96"/>
    <x v="16"/>
    <x v="94"/>
    <x v="208"/>
    <x v="2"/>
    <x v="2"/>
  </r>
  <r>
    <x v="33"/>
    <x v="0"/>
    <x v="0"/>
    <x v="3"/>
    <x v="33"/>
    <x v="33"/>
    <x v="19"/>
    <x v="19"/>
    <x v="19"/>
    <x v="19"/>
    <x v="10"/>
    <x v="65"/>
    <x v="88"/>
    <x v="152"/>
    <x v="155"/>
    <x v="65"/>
    <x v="196"/>
    <x v="2"/>
    <x v="2"/>
  </r>
  <r>
    <x v="33"/>
    <x v="0"/>
    <x v="0"/>
    <x v="3"/>
    <x v="33"/>
    <x v="33"/>
    <x v="11"/>
    <x v="11"/>
    <x v="11"/>
    <x v="11"/>
    <x v="12"/>
    <x v="66"/>
    <x v="206"/>
    <x v="116"/>
    <x v="34"/>
    <x v="114"/>
    <x v="314"/>
    <x v="2"/>
    <x v="2"/>
  </r>
  <r>
    <x v="33"/>
    <x v="0"/>
    <x v="0"/>
    <x v="3"/>
    <x v="33"/>
    <x v="33"/>
    <x v="17"/>
    <x v="17"/>
    <x v="17"/>
    <x v="17"/>
    <x v="13"/>
    <x v="67"/>
    <x v="13"/>
    <x v="55"/>
    <x v="367"/>
    <x v="171"/>
    <x v="162"/>
    <x v="2"/>
    <x v="2"/>
  </r>
  <r>
    <x v="33"/>
    <x v="0"/>
    <x v="0"/>
    <x v="3"/>
    <x v="33"/>
    <x v="33"/>
    <x v="10"/>
    <x v="10"/>
    <x v="10"/>
    <x v="10"/>
    <x v="14"/>
    <x v="53"/>
    <x v="32"/>
    <x v="77"/>
    <x v="248"/>
    <x v="43"/>
    <x v="228"/>
    <x v="2"/>
    <x v="2"/>
  </r>
  <r>
    <x v="33"/>
    <x v="0"/>
    <x v="0"/>
    <x v="3"/>
    <x v="33"/>
    <x v="33"/>
    <x v="15"/>
    <x v="15"/>
    <x v="15"/>
    <x v="15"/>
    <x v="15"/>
    <x v="117"/>
    <x v="124"/>
    <x v="84"/>
    <x v="52"/>
    <x v="175"/>
    <x v="315"/>
    <x v="2"/>
    <x v="2"/>
  </r>
  <r>
    <x v="33"/>
    <x v="0"/>
    <x v="0"/>
    <x v="3"/>
    <x v="33"/>
    <x v="33"/>
    <x v="36"/>
    <x v="36"/>
    <x v="36"/>
    <x v="36"/>
    <x v="16"/>
    <x v="157"/>
    <x v="125"/>
    <x v="149"/>
    <x v="157"/>
    <x v="53"/>
    <x v="180"/>
    <x v="2"/>
    <x v="2"/>
  </r>
  <r>
    <x v="33"/>
    <x v="0"/>
    <x v="0"/>
    <x v="3"/>
    <x v="33"/>
    <x v="33"/>
    <x v="9"/>
    <x v="9"/>
    <x v="9"/>
    <x v="9"/>
    <x v="16"/>
    <x v="157"/>
    <x v="125"/>
    <x v="47"/>
    <x v="208"/>
    <x v="97"/>
    <x v="298"/>
    <x v="2"/>
    <x v="2"/>
  </r>
  <r>
    <x v="33"/>
    <x v="0"/>
    <x v="0"/>
    <x v="3"/>
    <x v="33"/>
    <x v="33"/>
    <x v="16"/>
    <x v="16"/>
    <x v="16"/>
    <x v="16"/>
    <x v="18"/>
    <x v="202"/>
    <x v="167"/>
    <x v="96"/>
    <x v="16"/>
    <x v="154"/>
    <x v="316"/>
    <x v="2"/>
    <x v="2"/>
  </r>
  <r>
    <x v="33"/>
    <x v="0"/>
    <x v="0"/>
    <x v="3"/>
    <x v="33"/>
    <x v="33"/>
    <x v="14"/>
    <x v="14"/>
    <x v="14"/>
    <x v="14"/>
    <x v="19"/>
    <x v="152"/>
    <x v="247"/>
    <x v="69"/>
    <x v="66"/>
    <x v="103"/>
    <x v="216"/>
    <x v="2"/>
    <x v="2"/>
  </r>
  <r>
    <x v="33"/>
    <x v="0"/>
    <x v="0"/>
    <x v="3"/>
    <x v="33"/>
    <x v="33"/>
    <x v="41"/>
    <x v="41"/>
    <x v="41"/>
    <x v="41"/>
    <x v="19"/>
    <x v="152"/>
    <x v="247"/>
    <x v="152"/>
    <x v="155"/>
    <x v="43"/>
    <x v="228"/>
    <x v="2"/>
    <x v="2"/>
  </r>
  <r>
    <x v="34"/>
    <x v="0"/>
    <x v="0"/>
    <x v="3"/>
    <x v="34"/>
    <x v="34"/>
    <x v="0"/>
    <x v="0"/>
    <x v="0"/>
    <x v="0"/>
    <x v="0"/>
    <x v="254"/>
    <x v="274"/>
    <x v="208"/>
    <x v="404"/>
    <x v="125"/>
    <x v="190"/>
    <x v="2"/>
    <x v="2"/>
  </r>
  <r>
    <x v="34"/>
    <x v="0"/>
    <x v="0"/>
    <x v="3"/>
    <x v="34"/>
    <x v="34"/>
    <x v="8"/>
    <x v="8"/>
    <x v="8"/>
    <x v="8"/>
    <x v="1"/>
    <x v="96"/>
    <x v="275"/>
    <x v="143"/>
    <x v="405"/>
    <x v="128"/>
    <x v="317"/>
    <x v="2"/>
    <x v="2"/>
  </r>
  <r>
    <x v="34"/>
    <x v="0"/>
    <x v="0"/>
    <x v="3"/>
    <x v="34"/>
    <x v="34"/>
    <x v="3"/>
    <x v="3"/>
    <x v="3"/>
    <x v="3"/>
    <x v="2"/>
    <x v="255"/>
    <x v="276"/>
    <x v="209"/>
    <x v="406"/>
    <x v="60"/>
    <x v="195"/>
    <x v="2"/>
    <x v="2"/>
  </r>
  <r>
    <x v="34"/>
    <x v="0"/>
    <x v="0"/>
    <x v="3"/>
    <x v="34"/>
    <x v="34"/>
    <x v="1"/>
    <x v="1"/>
    <x v="1"/>
    <x v="1"/>
    <x v="3"/>
    <x v="233"/>
    <x v="277"/>
    <x v="45"/>
    <x v="91"/>
    <x v="116"/>
    <x v="40"/>
    <x v="2"/>
    <x v="2"/>
  </r>
  <r>
    <x v="34"/>
    <x v="0"/>
    <x v="0"/>
    <x v="3"/>
    <x v="34"/>
    <x v="34"/>
    <x v="18"/>
    <x v="18"/>
    <x v="18"/>
    <x v="18"/>
    <x v="4"/>
    <x v="256"/>
    <x v="234"/>
    <x v="210"/>
    <x v="348"/>
    <x v="125"/>
    <x v="190"/>
    <x v="2"/>
    <x v="2"/>
  </r>
  <r>
    <x v="34"/>
    <x v="0"/>
    <x v="0"/>
    <x v="3"/>
    <x v="34"/>
    <x v="34"/>
    <x v="4"/>
    <x v="4"/>
    <x v="4"/>
    <x v="4"/>
    <x v="5"/>
    <x v="176"/>
    <x v="278"/>
    <x v="211"/>
    <x v="407"/>
    <x v="48"/>
    <x v="318"/>
    <x v="2"/>
    <x v="2"/>
  </r>
  <r>
    <x v="34"/>
    <x v="0"/>
    <x v="0"/>
    <x v="3"/>
    <x v="34"/>
    <x v="34"/>
    <x v="31"/>
    <x v="31"/>
    <x v="31"/>
    <x v="31"/>
    <x v="6"/>
    <x v="46"/>
    <x v="106"/>
    <x v="119"/>
    <x v="408"/>
    <x v="108"/>
    <x v="142"/>
    <x v="2"/>
    <x v="2"/>
  </r>
  <r>
    <x v="34"/>
    <x v="0"/>
    <x v="0"/>
    <x v="3"/>
    <x v="34"/>
    <x v="34"/>
    <x v="10"/>
    <x v="10"/>
    <x v="10"/>
    <x v="10"/>
    <x v="7"/>
    <x v="210"/>
    <x v="130"/>
    <x v="103"/>
    <x v="409"/>
    <x v="62"/>
    <x v="129"/>
    <x v="2"/>
    <x v="2"/>
  </r>
  <r>
    <x v="34"/>
    <x v="0"/>
    <x v="0"/>
    <x v="3"/>
    <x v="34"/>
    <x v="34"/>
    <x v="7"/>
    <x v="7"/>
    <x v="7"/>
    <x v="7"/>
    <x v="7"/>
    <x v="210"/>
    <x v="130"/>
    <x v="212"/>
    <x v="410"/>
    <x v="107"/>
    <x v="57"/>
    <x v="2"/>
    <x v="2"/>
  </r>
  <r>
    <x v="34"/>
    <x v="0"/>
    <x v="0"/>
    <x v="3"/>
    <x v="34"/>
    <x v="34"/>
    <x v="5"/>
    <x v="5"/>
    <x v="5"/>
    <x v="5"/>
    <x v="7"/>
    <x v="210"/>
    <x v="130"/>
    <x v="90"/>
    <x v="78"/>
    <x v="61"/>
    <x v="92"/>
    <x v="2"/>
    <x v="2"/>
  </r>
  <r>
    <x v="34"/>
    <x v="0"/>
    <x v="0"/>
    <x v="3"/>
    <x v="34"/>
    <x v="34"/>
    <x v="2"/>
    <x v="2"/>
    <x v="2"/>
    <x v="2"/>
    <x v="10"/>
    <x v="49"/>
    <x v="6"/>
    <x v="48"/>
    <x v="238"/>
    <x v="41"/>
    <x v="277"/>
    <x v="2"/>
    <x v="2"/>
  </r>
  <r>
    <x v="34"/>
    <x v="0"/>
    <x v="0"/>
    <x v="3"/>
    <x v="34"/>
    <x v="34"/>
    <x v="27"/>
    <x v="27"/>
    <x v="27"/>
    <x v="27"/>
    <x v="11"/>
    <x v="50"/>
    <x v="44"/>
    <x v="121"/>
    <x v="411"/>
    <x v="91"/>
    <x v="223"/>
    <x v="2"/>
    <x v="2"/>
  </r>
  <r>
    <x v="34"/>
    <x v="0"/>
    <x v="0"/>
    <x v="3"/>
    <x v="34"/>
    <x v="34"/>
    <x v="26"/>
    <x v="26"/>
    <x v="26"/>
    <x v="26"/>
    <x v="12"/>
    <x v="66"/>
    <x v="132"/>
    <x v="97"/>
    <x v="125"/>
    <x v="57"/>
    <x v="8"/>
    <x v="2"/>
    <x v="2"/>
  </r>
  <r>
    <x v="34"/>
    <x v="0"/>
    <x v="0"/>
    <x v="3"/>
    <x v="34"/>
    <x v="34"/>
    <x v="9"/>
    <x v="9"/>
    <x v="9"/>
    <x v="9"/>
    <x v="13"/>
    <x v="204"/>
    <x v="28"/>
    <x v="47"/>
    <x v="84"/>
    <x v="173"/>
    <x v="319"/>
    <x v="2"/>
    <x v="2"/>
  </r>
  <r>
    <x v="34"/>
    <x v="0"/>
    <x v="0"/>
    <x v="3"/>
    <x v="34"/>
    <x v="34"/>
    <x v="11"/>
    <x v="11"/>
    <x v="11"/>
    <x v="11"/>
    <x v="14"/>
    <x v="157"/>
    <x v="64"/>
    <x v="115"/>
    <x v="99"/>
    <x v="124"/>
    <x v="316"/>
    <x v="2"/>
    <x v="2"/>
  </r>
  <r>
    <x v="34"/>
    <x v="0"/>
    <x v="0"/>
    <x v="3"/>
    <x v="34"/>
    <x v="34"/>
    <x v="6"/>
    <x v="6"/>
    <x v="6"/>
    <x v="6"/>
    <x v="15"/>
    <x v="55"/>
    <x v="166"/>
    <x v="167"/>
    <x v="412"/>
    <x v="106"/>
    <x v="98"/>
    <x v="2"/>
    <x v="2"/>
  </r>
  <r>
    <x v="34"/>
    <x v="0"/>
    <x v="0"/>
    <x v="3"/>
    <x v="34"/>
    <x v="34"/>
    <x v="47"/>
    <x v="47"/>
    <x v="47"/>
    <x v="47"/>
    <x v="16"/>
    <x v="177"/>
    <x v="125"/>
    <x v="166"/>
    <x v="375"/>
    <x v="110"/>
    <x v="320"/>
    <x v="2"/>
    <x v="2"/>
  </r>
  <r>
    <x v="34"/>
    <x v="0"/>
    <x v="0"/>
    <x v="3"/>
    <x v="34"/>
    <x v="34"/>
    <x v="14"/>
    <x v="14"/>
    <x v="14"/>
    <x v="14"/>
    <x v="17"/>
    <x v="73"/>
    <x v="207"/>
    <x v="54"/>
    <x v="9"/>
    <x v="91"/>
    <x v="223"/>
    <x v="2"/>
    <x v="2"/>
  </r>
  <r>
    <x v="34"/>
    <x v="0"/>
    <x v="0"/>
    <x v="3"/>
    <x v="34"/>
    <x v="34"/>
    <x v="12"/>
    <x v="12"/>
    <x v="12"/>
    <x v="12"/>
    <x v="18"/>
    <x v="74"/>
    <x v="18"/>
    <x v="72"/>
    <x v="132"/>
    <x v="72"/>
    <x v="3"/>
    <x v="2"/>
    <x v="2"/>
  </r>
  <r>
    <x v="34"/>
    <x v="0"/>
    <x v="0"/>
    <x v="3"/>
    <x v="34"/>
    <x v="34"/>
    <x v="32"/>
    <x v="32"/>
    <x v="32"/>
    <x v="32"/>
    <x v="19"/>
    <x v="112"/>
    <x v="279"/>
    <x v="47"/>
    <x v="84"/>
    <x v="79"/>
    <x v="321"/>
    <x v="2"/>
    <x v="2"/>
  </r>
  <r>
    <x v="35"/>
    <x v="0"/>
    <x v="0"/>
    <x v="3"/>
    <x v="35"/>
    <x v="35"/>
    <x v="0"/>
    <x v="0"/>
    <x v="0"/>
    <x v="0"/>
    <x v="0"/>
    <x v="257"/>
    <x v="280"/>
    <x v="213"/>
    <x v="413"/>
    <x v="176"/>
    <x v="322"/>
    <x v="2"/>
    <x v="2"/>
  </r>
  <r>
    <x v="35"/>
    <x v="0"/>
    <x v="0"/>
    <x v="3"/>
    <x v="35"/>
    <x v="35"/>
    <x v="1"/>
    <x v="1"/>
    <x v="1"/>
    <x v="1"/>
    <x v="1"/>
    <x v="258"/>
    <x v="281"/>
    <x v="214"/>
    <x v="184"/>
    <x v="114"/>
    <x v="323"/>
    <x v="2"/>
    <x v="2"/>
  </r>
  <r>
    <x v="35"/>
    <x v="0"/>
    <x v="0"/>
    <x v="3"/>
    <x v="35"/>
    <x v="35"/>
    <x v="5"/>
    <x v="5"/>
    <x v="5"/>
    <x v="5"/>
    <x v="2"/>
    <x v="259"/>
    <x v="256"/>
    <x v="215"/>
    <x v="298"/>
    <x v="110"/>
    <x v="54"/>
    <x v="2"/>
    <x v="2"/>
  </r>
  <r>
    <x v="35"/>
    <x v="0"/>
    <x v="0"/>
    <x v="3"/>
    <x v="35"/>
    <x v="35"/>
    <x v="3"/>
    <x v="3"/>
    <x v="3"/>
    <x v="3"/>
    <x v="3"/>
    <x v="260"/>
    <x v="146"/>
    <x v="216"/>
    <x v="21"/>
    <x v="123"/>
    <x v="287"/>
    <x v="2"/>
    <x v="2"/>
  </r>
  <r>
    <x v="35"/>
    <x v="0"/>
    <x v="0"/>
    <x v="3"/>
    <x v="35"/>
    <x v="35"/>
    <x v="4"/>
    <x v="4"/>
    <x v="4"/>
    <x v="4"/>
    <x v="4"/>
    <x v="225"/>
    <x v="59"/>
    <x v="207"/>
    <x v="78"/>
    <x v="132"/>
    <x v="111"/>
    <x v="1"/>
    <x v="15"/>
  </r>
  <r>
    <x v="35"/>
    <x v="0"/>
    <x v="0"/>
    <x v="3"/>
    <x v="35"/>
    <x v="35"/>
    <x v="2"/>
    <x v="2"/>
    <x v="2"/>
    <x v="2"/>
    <x v="5"/>
    <x v="261"/>
    <x v="272"/>
    <x v="216"/>
    <x v="21"/>
    <x v="60"/>
    <x v="324"/>
    <x v="2"/>
    <x v="2"/>
  </r>
  <r>
    <x v="35"/>
    <x v="0"/>
    <x v="0"/>
    <x v="3"/>
    <x v="35"/>
    <x v="35"/>
    <x v="7"/>
    <x v="7"/>
    <x v="7"/>
    <x v="7"/>
    <x v="6"/>
    <x v="231"/>
    <x v="282"/>
    <x v="217"/>
    <x v="414"/>
    <x v="77"/>
    <x v="151"/>
    <x v="2"/>
    <x v="2"/>
  </r>
  <r>
    <x v="35"/>
    <x v="0"/>
    <x v="0"/>
    <x v="3"/>
    <x v="35"/>
    <x v="35"/>
    <x v="8"/>
    <x v="8"/>
    <x v="8"/>
    <x v="8"/>
    <x v="7"/>
    <x v="262"/>
    <x v="218"/>
    <x v="218"/>
    <x v="8"/>
    <x v="76"/>
    <x v="129"/>
    <x v="2"/>
    <x v="2"/>
  </r>
  <r>
    <x v="35"/>
    <x v="0"/>
    <x v="0"/>
    <x v="3"/>
    <x v="35"/>
    <x v="35"/>
    <x v="6"/>
    <x v="6"/>
    <x v="6"/>
    <x v="6"/>
    <x v="8"/>
    <x v="263"/>
    <x v="109"/>
    <x v="98"/>
    <x v="410"/>
    <x v="41"/>
    <x v="57"/>
    <x v="2"/>
    <x v="2"/>
  </r>
  <r>
    <x v="35"/>
    <x v="0"/>
    <x v="0"/>
    <x v="3"/>
    <x v="35"/>
    <x v="35"/>
    <x v="9"/>
    <x v="9"/>
    <x v="9"/>
    <x v="9"/>
    <x v="9"/>
    <x v="176"/>
    <x v="134"/>
    <x v="84"/>
    <x v="9"/>
    <x v="86"/>
    <x v="325"/>
    <x v="9"/>
    <x v="26"/>
  </r>
  <r>
    <x v="35"/>
    <x v="0"/>
    <x v="0"/>
    <x v="3"/>
    <x v="35"/>
    <x v="35"/>
    <x v="10"/>
    <x v="10"/>
    <x v="10"/>
    <x v="10"/>
    <x v="10"/>
    <x v="143"/>
    <x v="48"/>
    <x v="192"/>
    <x v="415"/>
    <x v="125"/>
    <x v="241"/>
    <x v="2"/>
    <x v="2"/>
  </r>
  <r>
    <x v="35"/>
    <x v="0"/>
    <x v="0"/>
    <x v="3"/>
    <x v="35"/>
    <x v="35"/>
    <x v="11"/>
    <x v="11"/>
    <x v="11"/>
    <x v="11"/>
    <x v="11"/>
    <x v="212"/>
    <x v="9"/>
    <x v="122"/>
    <x v="344"/>
    <x v="177"/>
    <x v="316"/>
    <x v="2"/>
    <x v="2"/>
  </r>
  <r>
    <x v="35"/>
    <x v="0"/>
    <x v="0"/>
    <x v="3"/>
    <x v="35"/>
    <x v="35"/>
    <x v="12"/>
    <x v="12"/>
    <x v="12"/>
    <x v="12"/>
    <x v="12"/>
    <x v="237"/>
    <x v="100"/>
    <x v="81"/>
    <x v="416"/>
    <x v="123"/>
    <x v="287"/>
    <x v="2"/>
    <x v="2"/>
  </r>
  <r>
    <x v="35"/>
    <x v="0"/>
    <x v="0"/>
    <x v="3"/>
    <x v="35"/>
    <x v="35"/>
    <x v="14"/>
    <x v="14"/>
    <x v="14"/>
    <x v="14"/>
    <x v="13"/>
    <x v="230"/>
    <x v="283"/>
    <x v="55"/>
    <x v="28"/>
    <x v="157"/>
    <x v="326"/>
    <x v="2"/>
    <x v="2"/>
  </r>
  <r>
    <x v="35"/>
    <x v="0"/>
    <x v="0"/>
    <x v="3"/>
    <x v="35"/>
    <x v="35"/>
    <x v="24"/>
    <x v="24"/>
    <x v="24"/>
    <x v="24"/>
    <x v="14"/>
    <x v="63"/>
    <x v="116"/>
    <x v="189"/>
    <x v="109"/>
    <x v="107"/>
    <x v="72"/>
    <x v="2"/>
    <x v="2"/>
  </r>
  <r>
    <x v="35"/>
    <x v="0"/>
    <x v="0"/>
    <x v="3"/>
    <x v="35"/>
    <x v="35"/>
    <x v="17"/>
    <x v="17"/>
    <x v="17"/>
    <x v="17"/>
    <x v="15"/>
    <x v="155"/>
    <x v="166"/>
    <x v="55"/>
    <x v="28"/>
    <x v="178"/>
    <x v="28"/>
    <x v="2"/>
    <x v="2"/>
  </r>
  <r>
    <x v="35"/>
    <x v="0"/>
    <x v="0"/>
    <x v="3"/>
    <x v="35"/>
    <x v="35"/>
    <x v="19"/>
    <x v="19"/>
    <x v="19"/>
    <x v="19"/>
    <x v="16"/>
    <x v="127"/>
    <x v="125"/>
    <x v="166"/>
    <x v="417"/>
    <x v="87"/>
    <x v="78"/>
    <x v="2"/>
    <x v="2"/>
  </r>
  <r>
    <x v="35"/>
    <x v="0"/>
    <x v="0"/>
    <x v="3"/>
    <x v="35"/>
    <x v="35"/>
    <x v="16"/>
    <x v="16"/>
    <x v="16"/>
    <x v="16"/>
    <x v="17"/>
    <x v="49"/>
    <x v="167"/>
    <x v="67"/>
    <x v="56"/>
    <x v="173"/>
    <x v="212"/>
    <x v="2"/>
    <x v="2"/>
  </r>
  <r>
    <x v="35"/>
    <x v="0"/>
    <x v="0"/>
    <x v="3"/>
    <x v="35"/>
    <x v="35"/>
    <x v="15"/>
    <x v="15"/>
    <x v="15"/>
    <x v="15"/>
    <x v="17"/>
    <x v="49"/>
    <x v="167"/>
    <x v="56"/>
    <x v="285"/>
    <x v="76"/>
    <x v="129"/>
    <x v="2"/>
    <x v="2"/>
  </r>
  <r>
    <x v="35"/>
    <x v="0"/>
    <x v="0"/>
    <x v="3"/>
    <x v="35"/>
    <x v="35"/>
    <x v="22"/>
    <x v="22"/>
    <x v="22"/>
    <x v="22"/>
    <x v="19"/>
    <x v="65"/>
    <x v="33"/>
    <x v="79"/>
    <x v="32"/>
    <x v="163"/>
    <x v="33"/>
    <x v="2"/>
    <x v="2"/>
  </r>
  <r>
    <x v="36"/>
    <x v="0"/>
    <x v="0"/>
    <x v="3"/>
    <x v="36"/>
    <x v="36"/>
    <x v="1"/>
    <x v="1"/>
    <x v="1"/>
    <x v="1"/>
    <x v="0"/>
    <x v="211"/>
    <x v="284"/>
    <x v="219"/>
    <x v="418"/>
    <x v="82"/>
    <x v="43"/>
    <x v="2"/>
    <x v="14"/>
  </r>
  <r>
    <x v="36"/>
    <x v="0"/>
    <x v="0"/>
    <x v="3"/>
    <x v="36"/>
    <x v="36"/>
    <x v="0"/>
    <x v="0"/>
    <x v="0"/>
    <x v="0"/>
    <x v="1"/>
    <x v="264"/>
    <x v="285"/>
    <x v="100"/>
    <x v="374"/>
    <x v="160"/>
    <x v="82"/>
    <x v="2"/>
    <x v="14"/>
  </r>
  <r>
    <x v="36"/>
    <x v="0"/>
    <x v="0"/>
    <x v="3"/>
    <x v="36"/>
    <x v="36"/>
    <x v="2"/>
    <x v="2"/>
    <x v="2"/>
    <x v="2"/>
    <x v="2"/>
    <x v="247"/>
    <x v="71"/>
    <x v="183"/>
    <x v="419"/>
    <x v="107"/>
    <x v="327"/>
    <x v="2"/>
    <x v="14"/>
  </r>
  <r>
    <x v="36"/>
    <x v="0"/>
    <x v="0"/>
    <x v="3"/>
    <x v="36"/>
    <x v="36"/>
    <x v="7"/>
    <x v="7"/>
    <x v="7"/>
    <x v="7"/>
    <x v="3"/>
    <x v="146"/>
    <x v="205"/>
    <x v="220"/>
    <x v="420"/>
    <x v="100"/>
    <x v="7"/>
    <x v="2"/>
    <x v="14"/>
  </r>
  <r>
    <x v="36"/>
    <x v="0"/>
    <x v="0"/>
    <x v="3"/>
    <x v="36"/>
    <x v="36"/>
    <x v="6"/>
    <x v="6"/>
    <x v="6"/>
    <x v="6"/>
    <x v="4"/>
    <x v="178"/>
    <x v="121"/>
    <x v="220"/>
    <x v="420"/>
    <x v="81"/>
    <x v="236"/>
    <x v="2"/>
    <x v="14"/>
  </r>
  <r>
    <x v="36"/>
    <x v="0"/>
    <x v="0"/>
    <x v="3"/>
    <x v="36"/>
    <x v="36"/>
    <x v="3"/>
    <x v="3"/>
    <x v="3"/>
    <x v="3"/>
    <x v="5"/>
    <x v="265"/>
    <x v="107"/>
    <x v="90"/>
    <x v="380"/>
    <x v="109"/>
    <x v="277"/>
    <x v="2"/>
    <x v="14"/>
  </r>
  <r>
    <x v="36"/>
    <x v="0"/>
    <x v="0"/>
    <x v="3"/>
    <x v="36"/>
    <x v="36"/>
    <x v="8"/>
    <x v="8"/>
    <x v="8"/>
    <x v="8"/>
    <x v="6"/>
    <x v="47"/>
    <x v="108"/>
    <x v="31"/>
    <x v="69"/>
    <x v="79"/>
    <x v="174"/>
    <x v="2"/>
    <x v="14"/>
  </r>
  <r>
    <x v="36"/>
    <x v="0"/>
    <x v="0"/>
    <x v="3"/>
    <x v="36"/>
    <x v="36"/>
    <x v="4"/>
    <x v="4"/>
    <x v="4"/>
    <x v="4"/>
    <x v="7"/>
    <x v="64"/>
    <x v="273"/>
    <x v="107"/>
    <x v="323"/>
    <x v="48"/>
    <x v="4"/>
    <x v="2"/>
    <x v="14"/>
  </r>
  <r>
    <x v="36"/>
    <x v="0"/>
    <x v="0"/>
    <x v="3"/>
    <x v="36"/>
    <x v="36"/>
    <x v="5"/>
    <x v="5"/>
    <x v="5"/>
    <x v="5"/>
    <x v="8"/>
    <x v="213"/>
    <x v="44"/>
    <x v="48"/>
    <x v="387"/>
    <x v="44"/>
    <x v="226"/>
    <x v="2"/>
    <x v="14"/>
  </r>
  <r>
    <x v="36"/>
    <x v="0"/>
    <x v="0"/>
    <x v="3"/>
    <x v="36"/>
    <x v="36"/>
    <x v="16"/>
    <x v="16"/>
    <x v="16"/>
    <x v="16"/>
    <x v="9"/>
    <x v="239"/>
    <x v="286"/>
    <x v="126"/>
    <x v="116"/>
    <x v="162"/>
    <x v="328"/>
    <x v="2"/>
    <x v="14"/>
  </r>
  <r>
    <x v="36"/>
    <x v="0"/>
    <x v="0"/>
    <x v="3"/>
    <x v="36"/>
    <x v="36"/>
    <x v="10"/>
    <x v="10"/>
    <x v="10"/>
    <x v="10"/>
    <x v="10"/>
    <x v="118"/>
    <x v="123"/>
    <x v="166"/>
    <x v="421"/>
    <x v="84"/>
    <x v="91"/>
    <x v="2"/>
    <x v="14"/>
  </r>
  <r>
    <x v="36"/>
    <x v="0"/>
    <x v="0"/>
    <x v="3"/>
    <x v="36"/>
    <x v="36"/>
    <x v="11"/>
    <x v="11"/>
    <x v="11"/>
    <x v="11"/>
    <x v="11"/>
    <x v="157"/>
    <x v="211"/>
    <x v="80"/>
    <x v="232"/>
    <x v="172"/>
    <x v="184"/>
    <x v="2"/>
    <x v="14"/>
  </r>
  <r>
    <x v="36"/>
    <x v="0"/>
    <x v="0"/>
    <x v="3"/>
    <x v="36"/>
    <x v="36"/>
    <x v="12"/>
    <x v="12"/>
    <x v="12"/>
    <x v="12"/>
    <x v="12"/>
    <x v="68"/>
    <x v="142"/>
    <x v="221"/>
    <x v="422"/>
    <x v="48"/>
    <x v="4"/>
    <x v="2"/>
    <x v="14"/>
  </r>
  <r>
    <x v="36"/>
    <x v="0"/>
    <x v="0"/>
    <x v="3"/>
    <x v="36"/>
    <x v="36"/>
    <x v="22"/>
    <x v="22"/>
    <x v="22"/>
    <x v="22"/>
    <x v="13"/>
    <x v="152"/>
    <x v="100"/>
    <x v="122"/>
    <x v="174"/>
    <x v="67"/>
    <x v="16"/>
    <x v="2"/>
    <x v="14"/>
  </r>
  <r>
    <x v="36"/>
    <x v="0"/>
    <x v="0"/>
    <x v="3"/>
    <x v="36"/>
    <x v="36"/>
    <x v="18"/>
    <x v="18"/>
    <x v="18"/>
    <x v="18"/>
    <x v="14"/>
    <x v="70"/>
    <x v="11"/>
    <x v="93"/>
    <x v="423"/>
    <x v="59"/>
    <x v="329"/>
    <x v="2"/>
    <x v="14"/>
  </r>
  <r>
    <x v="36"/>
    <x v="0"/>
    <x v="0"/>
    <x v="3"/>
    <x v="36"/>
    <x v="36"/>
    <x v="19"/>
    <x v="19"/>
    <x v="19"/>
    <x v="19"/>
    <x v="15"/>
    <x v="149"/>
    <x v="89"/>
    <x v="69"/>
    <x v="53"/>
    <x v="124"/>
    <x v="198"/>
    <x v="2"/>
    <x v="14"/>
  </r>
  <r>
    <x v="36"/>
    <x v="0"/>
    <x v="0"/>
    <x v="3"/>
    <x v="36"/>
    <x v="36"/>
    <x v="15"/>
    <x v="15"/>
    <x v="15"/>
    <x v="15"/>
    <x v="16"/>
    <x v="84"/>
    <x v="124"/>
    <x v="58"/>
    <x v="178"/>
    <x v="56"/>
    <x v="330"/>
    <x v="2"/>
    <x v="14"/>
  </r>
  <r>
    <x v="36"/>
    <x v="0"/>
    <x v="0"/>
    <x v="3"/>
    <x v="36"/>
    <x v="36"/>
    <x v="13"/>
    <x v="13"/>
    <x v="13"/>
    <x v="13"/>
    <x v="17"/>
    <x v="71"/>
    <x v="135"/>
    <x v="96"/>
    <x v="153"/>
    <x v="80"/>
    <x v="290"/>
    <x v="2"/>
    <x v="14"/>
  </r>
  <r>
    <x v="36"/>
    <x v="0"/>
    <x v="0"/>
    <x v="3"/>
    <x v="36"/>
    <x v="36"/>
    <x v="17"/>
    <x v="17"/>
    <x v="17"/>
    <x v="17"/>
    <x v="18"/>
    <x v="72"/>
    <x v="203"/>
    <x v="96"/>
    <x v="153"/>
    <x v="124"/>
    <x v="198"/>
    <x v="2"/>
    <x v="14"/>
  </r>
  <r>
    <x v="36"/>
    <x v="0"/>
    <x v="0"/>
    <x v="3"/>
    <x v="36"/>
    <x v="36"/>
    <x v="27"/>
    <x v="27"/>
    <x v="27"/>
    <x v="27"/>
    <x v="19"/>
    <x v="56"/>
    <x v="34"/>
    <x v="120"/>
    <x v="424"/>
    <x v="116"/>
    <x v="51"/>
    <x v="2"/>
    <x v="14"/>
  </r>
  <r>
    <x v="37"/>
    <x v="0"/>
    <x v="0"/>
    <x v="3"/>
    <x v="37"/>
    <x v="37"/>
    <x v="0"/>
    <x v="0"/>
    <x v="0"/>
    <x v="0"/>
    <x v="0"/>
    <x v="220"/>
    <x v="287"/>
    <x v="222"/>
    <x v="425"/>
    <x v="80"/>
    <x v="331"/>
    <x v="2"/>
    <x v="2"/>
  </r>
  <r>
    <x v="37"/>
    <x v="0"/>
    <x v="0"/>
    <x v="3"/>
    <x v="37"/>
    <x v="37"/>
    <x v="1"/>
    <x v="1"/>
    <x v="1"/>
    <x v="1"/>
    <x v="1"/>
    <x v="266"/>
    <x v="284"/>
    <x v="223"/>
    <x v="426"/>
    <x v="59"/>
    <x v="174"/>
    <x v="2"/>
    <x v="2"/>
  </r>
  <r>
    <x v="37"/>
    <x v="0"/>
    <x v="0"/>
    <x v="3"/>
    <x v="37"/>
    <x v="37"/>
    <x v="5"/>
    <x v="5"/>
    <x v="5"/>
    <x v="5"/>
    <x v="2"/>
    <x v="43"/>
    <x v="288"/>
    <x v="224"/>
    <x v="119"/>
    <x v="48"/>
    <x v="40"/>
    <x v="2"/>
    <x v="2"/>
  </r>
  <r>
    <x v="37"/>
    <x v="0"/>
    <x v="0"/>
    <x v="3"/>
    <x v="37"/>
    <x v="37"/>
    <x v="7"/>
    <x v="7"/>
    <x v="7"/>
    <x v="7"/>
    <x v="3"/>
    <x v="144"/>
    <x v="58"/>
    <x v="44"/>
    <x v="307"/>
    <x v="100"/>
    <x v="98"/>
    <x v="1"/>
    <x v="27"/>
  </r>
  <r>
    <x v="37"/>
    <x v="0"/>
    <x v="0"/>
    <x v="3"/>
    <x v="37"/>
    <x v="37"/>
    <x v="3"/>
    <x v="3"/>
    <x v="3"/>
    <x v="3"/>
    <x v="4"/>
    <x v="101"/>
    <x v="289"/>
    <x v="35"/>
    <x v="427"/>
    <x v="82"/>
    <x v="49"/>
    <x v="2"/>
    <x v="2"/>
  </r>
  <r>
    <x v="37"/>
    <x v="0"/>
    <x v="0"/>
    <x v="3"/>
    <x v="37"/>
    <x v="37"/>
    <x v="4"/>
    <x v="4"/>
    <x v="4"/>
    <x v="4"/>
    <x v="5"/>
    <x v="76"/>
    <x v="290"/>
    <x v="102"/>
    <x v="63"/>
    <x v="48"/>
    <x v="40"/>
    <x v="1"/>
    <x v="27"/>
  </r>
  <r>
    <x v="37"/>
    <x v="0"/>
    <x v="0"/>
    <x v="3"/>
    <x v="37"/>
    <x v="37"/>
    <x v="2"/>
    <x v="2"/>
    <x v="2"/>
    <x v="2"/>
    <x v="6"/>
    <x v="63"/>
    <x v="22"/>
    <x v="100"/>
    <x v="410"/>
    <x v="63"/>
    <x v="220"/>
    <x v="2"/>
    <x v="2"/>
  </r>
  <r>
    <x v="37"/>
    <x v="0"/>
    <x v="0"/>
    <x v="3"/>
    <x v="37"/>
    <x v="37"/>
    <x v="8"/>
    <x v="8"/>
    <x v="8"/>
    <x v="8"/>
    <x v="7"/>
    <x v="103"/>
    <x v="291"/>
    <x v="167"/>
    <x v="393"/>
    <x v="55"/>
    <x v="115"/>
    <x v="2"/>
    <x v="2"/>
  </r>
  <r>
    <x v="37"/>
    <x v="0"/>
    <x v="0"/>
    <x v="3"/>
    <x v="37"/>
    <x v="37"/>
    <x v="6"/>
    <x v="6"/>
    <x v="6"/>
    <x v="6"/>
    <x v="8"/>
    <x v="213"/>
    <x v="218"/>
    <x v="131"/>
    <x v="428"/>
    <x v="100"/>
    <x v="98"/>
    <x v="1"/>
    <x v="27"/>
  </r>
  <r>
    <x v="37"/>
    <x v="0"/>
    <x v="0"/>
    <x v="3"/>
    <x v="37"/>
    <x v="37"/>
    <x v="16"/>
    <x v="16"/>
    <x v="16"/>
    <x v="16"/>
    <x v="9"/>
    <x v="119"/>
    <x v="174"/>
    <x v="108"/>
    <x v="344"/>
    <x v="56"/>
    <x v="150"/>
    <x v="2"/>
    <x v="2"/>
  </r>
  <r>
    <x v="37"/>
    <x v="0"/>
    <x v="0"/>
    <x v="3"/>
    <x v="37"/>
    <x v="37"/>
    <x v="9"/>
    <x v="9"/>
    <x v="9"/>
    <x v="9"/>
    <x v="10"/>
    <x v="84"/>
    <x v="31"/>
    <x v="54"/>
    <x v="29"/>
    <x v="96"/>
    <x v="332"/>
    <x v="2"/>
    <x v="2"/>
  </r>
  <r>
    <x v="37"/>
    <x v="0"/>
    <x v="0"/>
    <x v="3"/>
    <x v="37"/>
    <x v="37"/>
    <x v="18"/>
    <x v="18"/>
    <x v="18"/>
    <x v="18"/>
    <x v="11"/>
    <x v="120"/>
    <x v="166"/>
    <x v="72"/>
    <x v="213"/>
    <x v="51"/>
    <x v="221"/>
    <x v="2"/>
    <x v="2"/>
  </r>
  <r>
    <x v="37"/>
    <x v="0"/>
    <x v="0"/>
    <x v="3"/>
    <x v="37"/>
    <x v="37"/>
    <x v="12"/>
    <x v="12"/>
    <x v="12"/>
    <x v="12"/>
    <x v="11"/>
    <x v="120"/>
    <x v="166"/>
    <x v="173"/>
    <x v="193"/>
    <x v="41"/>
    <x v="36"/>
    <x v="2"/>
    <x v="2"/>
  </r>
  <r>
    <x v="37"/>
    <x v="0"/>
    <x v="0"/>
    <x v="3"/>
    <x v="37"/>
    <x v="37"/>
    <x v="13"/>
    <x v="13"/>
    <x v="13"/>
    <x v="13"/>
    <x v="13"/>
    <x v="73"/>
    <x v="33"/>
    <x v="55"/>
    <x v="14"/>
    <x v="67"/>
    <x v="333"/>
    <x v="2"/>
    <x v="2"/>
  </r>
  <r>
    <x v="37"/>
    <x v="0"/>
    <x v="0"/>
    <x v="3"/>
    <x v="37"/>
    <x v="37"/>
    <x v="11"/>
    <x v="11"/>
    <x v="11"/>
    <x v="11"/>
    <x v="14"/>
    <x v="74"/>
    <x v="50"/>
    <x v="56"/>
    <x v="225"/>
    <x v="59"/>
    <x v="174"/>
    <x v="2"/>
    <x v="2"/>
  </r>
  <r>
    <x v="37"/>
    <x v="0"/>
    <x v="0"/>
    <x v="3"/>
    <x v="37"/>
    <x v="37"/>
    <x v="37"/>
    <x v="37"/>
    <x v="37"/>
    <x v="37"/>
    <x v="15"/>
    <x v="59"/>
    <x v="143"/>
    <x v="68"/>
    <x v="429"/>
    <x v="101"/>
    <x v="92"/>
    <x v="2"/>
    <x v="2"/>
  </r>
  <r>
    <x v="37"/>
    <x v="0"/>
    <x v="0"/>
    <x v="3"/>
    <x v="37"/>
    <x v="37"/>
    <x v="36"/>
    <x v="36"/>
    <x v="36"/>
    <x v="36"/>
    <x v="16"/>
    <x v="85"/>
    <x v="36"/>
    <x v="51"/>
    <x v="129"/>
    <x v="99"/>
    <x v="180"/>
    <x v="2"/>
    <x v="2"/>
  </r>
  <r>
    <x v="37"/>
    <x v="0"/>
    <x v="0"/>
    <x v="3"/>
    <x v="37"/>
    <x v="37"/>
    <x v="15"/>
    <x v="15"/>
    <x v="15"/>
    <x v="15"/>
    <x v="17"/>
    <x v="111"/>
    <x v="17"/>
    <x v="58"/>
    <x v="74"/>
    <x v="49"/>
    <x v="241"/>
    <x v="2"/>
    <x v="2"/>
  </r>
  <r>
    <x v="37"/>
    <x v="0"/>
    <x v="0"/>
    <x v="3"/>
    <x v="37"/>
    <x v="37"/>
    <x v="27"/>
    <x v="27"/>
    <x v="27"/>
    <x v="27"/>
    <x v="17"/>
    <x v="111"/>
    <x v="17"/>
    <x v="124"/>
    <x v="430"/>
    <x v="44"/>
    <x v="97"/>
    <x v="2"/>
    <x v="2"/>
  </r>
  <r>
    <x v="37"/>
    <x v="0"/>
    <x v="0"/>
    <x v="3"/>
    <x v="37"/>
    <x v="37"/>
    <x v="19"/>
    <x v="19"/>
    <x v="19"/>
    <x v="19"/>
    <x v="17"/>
    <x v="111"/>
    <x v="17"/>
    <x v="69"/>
    <x v="431"/>
    <x v="51"/>
    <x v="221"/>
    <x v="2"/>
    <x v="2"/>
  </r>
  <r>
    <x v="38"/>
    <x v="0"/>
    <x v="0"/>
    <x v="3"/>
    <x v="38"/>
    <x v="38"/>
    <x v="0"/>
    <x v="0"/>
    <x v="0"/>
    <x v="0"/>
    <x v="0"/>
    <x v="117"/>
    <x v="292"/>
    <x v="103"/>
    <x v="286"/>
    <x v="64"/>
    <x v="334"/>
    <x v="2"/>
    <x v="2"/>
  </r>
  <r>
    <x v="38"/>
    <x v="0"/>
    <x v="0"/>
    <x v="3"/>
    <x v="38"/>
    <x v="38"/>
    <x v="1"/>
    <x v="1"/>
    <x v="1"/>
    <x v="1"/>
    <x v="1"/>
    <x v="55"/>
    <x v="293"/>
    <x v="97"/>
    <x v="432"/>
    <x v="107"/>
    <x v="61"/>
    <x v="2"/>
    <x v="2"/>
  </r>
  <r>
    <x v="38"/>
    <x v="0"/>
    <x v="0"/>
    <x v="3"/>
    <x v="38"/>
    <x v="38"/>
    <x v="5"/>
    <x v="5"/>
    <x v="5"/>
    <x v="5"/>
    <x v="2"/>
    <x v="87"/>
    <x v="83"/>
    <x v="123"/>
    <x v="22"/>
    <x v="100"/>
    <x v="205"/>
    <x v="2"/>
    <x v="2"/>
  </r>
  <r>
    <x v="38"/>
    <x v="0"/>
    <x v="0"/>
    <x v="3"/>
    <x v="38"/>
    <x v="38"/>
    <x v="4"/>
    <x v="4"/>
    <x v="4"/>
    <x v="4"/>
    <x v="3"/>
    <x v="88"/>
    <x v="260"/>
    <x v="68"/>
    <x v="433"/>
    <x v="45"/>
    <x v="92"/>
    <x v="2"/>
    <x v="2"/>
  </r>
  <r>
    <x v="38"/>
    <x v="0"/>
    <x v="0"/>
    <x v="3"/>
    <x v="38"/>
    <x v="38"/>
    <x v="10"/>
    <x v="10"/>
    <x v="10"/>
    <x v="10"/>
    <x v="4"/>
    <x v="138"/>
    <x v="106"/>
    <x v="69"/>
    <x v="149"/>
    <x v="44"/>
    <x v="247"/>
    <x v="2"/>
    <x v="2"/>
  </r>
  <r>
    <x v="38"/>
    <x v="0"/>
    <x v="0"/>
    <x v="3"/>
    <x v="38"/>
    <x v="38"/>
    <x v="3"/>
    <x v="3"/>
    <x v="3"/>
    <x v="3"/>
    <x v="5"/>
    <x v="163"/>
    <x v="158"/>
    <x v="130"/>
    <x v="434"/>
    <x v="106"/>
    <x v="49"/>
    <x v="2"/>
    <x v="2"/>
  </r>
  <r>
    <x v="38"/>
    <x v="0"/>
    <x v="0"/>
    <x v="3"/>
    <x v="38"/>
    <x v="38"/>
    <x v="2"/>
    <x v="2"/>
    <x v="2"/>
    <x v="2"/>
    <x v="6"/>
    <x v="162"/>
    <x v="23"/>
    <x v="122"/>
    <x v="364"/>
    <x v="71"/>
    <x v="335"/>
    <x v="2"/>
    <x v="2"/>
  </r>
  <r>
    <x v="38"/>
    <x v="0"/>
    <x v="0"/>
    <x v="3"/>
    <x v="38"/>
    <x v="38"/>
    <x v="8"/>
    <x v="8"/>
    <x v="8"/>
    <x v="8"/>
    <x v="7"/>
    <x v="164"/>
    <x v="61"/>
    <x v="80"/>
    <x v="272"/>
    <x v="63"/>
    <x v="305"/>
    <x v="2"/>
    <x v="2"/>
  </r>
  <r>
    <x v="38"/>
    <x v="0"/>
    <x v="0"/>
    <x v="3"/>
    <x v="38"/>
    <x v="38"/>
    <x v="22"/>
    <x v="22"/>
    <x v="22"/>
    <x v="22"/>
    <x v="8"/>
    <x v="267"/>
    <x v="44"/>
    <x v="55"/>
    <x v="435"/>
    <x v="109"/>
    <x v="238"/>
    <x v="2"/>
    <x v="2"/>
  </r>
  <r>
    <x v="38"/>
    <x v="0"/>
    <x v="0"/>
    <x v="3"/>
    <x v="38"/>
    <x v="38"/>
    <x v="12"/>
    <x v="12"/>
    <x v="12"/>
    <x v="12"/>
    <x v="9"/>
    <x v="268"/>
    <x v="28"/>
    <x v="108"/>
    <x v="436"/>
    <x v="113"/>
    <x v="259"/>
    <x v="2"/>
    <x v="2"/>
  </r>
  <r>
    <x v="38"/>
    <x v="0"/>
    <x v="0"/>
    <x v="3"/>
    <x v="38"/>
    <x v="38"/>
    <x v="6"/>
    <x v="6"/>
    <x v="6"/>
    <x v="6"/>
    <x v="10"/>
    <x v="165"/>
    <x v="63"/>
    <x v="149"/>
    <x v="437"/>
    <x v="45"/>
    <x v="92"/>
    <x v="2"/>
    <x v="2"/>
  </r>
  <r>
    <x v="38"/>
    <x v="0"/>
    <x v="0"/>
    <x v="3"/>
    <x v="38"/>
    <x v="38"/>
    <x v="18"/>
    <x v="18"/>
    <x v="18"/>
    <x v="18"/>
    <x v="11"/>
    <x v="167"/>
    <x v="113"/>
    <x v="67"/>
    <x v="30"/>
    <x v="113"/>
    <x v="259"/>
    <x v="2"/>
    <x v="2"/>
  </r>
  <r>
    <x v="38"/>
    <x v="0"/>
    <x v="0"/>
    <x v="3"/>
    <x v="38"/>
    <x v="38"/>
    <x v="11"/>
    <x v="11"/>
    <x v="11"/>
    <x v="11"/>
    <x v="12"/>
    <x v="170"/>
    <x v="246"/>
    <x v="84"/>
    <x v="438"/>
    <x v="107"/>
    <x v="61"/>
    <x v="2"/>
    <x v="2"/>
  </r>
  <r>
    <x v="38"/>
    <x v="0"/>
    <x v="0"/>
    <x v="3"/>
    <x v="38"/>
    <x v="38"/>
    <x v="31"/>
    <x v="31"/>
    <x v="31"/>
    <x v="31"/>
    <x v="12"/>
    <x v="170"/>
    <x v="246"/>
    <x v="58"/>
    <x v="151"/>
    <x v="45"/>
    <x v="92"/>
    <x v="1"/>
    <x v="11"/>
  </r>
  <r>
    <x v="38"/>
    <x v="0"/>
    <x v="0"/>
    <x v="3"/>
    <x v="38"/>
    <x v="38"/>
    <x v="34"/>
    <x v="34"/>
    <x v="34"/>
    <x v="34"/>
    <x v="14"/>
    <x v="269"/>
    <x v="65"/>
    <x v="96"/>
    <x v="335"/>
    <x v="106"/>
    <x v="49"/>
    <x v="2"/>
    <x v="2"/>
  </r>
  <r>
    <x v="38"/>
    <x v="0"/>
    <x v="0"/>
    <x v="3"/>
    <x v="38"/>
    <x v="38"/>
    <x v="9"/>
    <x v="9"/>
    <x v="9"/>
    <x v="9"/>
    <x v="14"/>
    <x v="269"/>
    <x v="65"/>
    <x v="111"/>
    <x v="266"/>
    <x v="61"/>
    <x v="275"/>
    <x v="1"/>
    <x v="11"/>
  </r>
  <r>
    <x v="38"/>
    <x v="0"/>
    <x v="0"/>
    <x v="3"/>
    <x v="38"/>
    <x v="38"/>
    <x v="7"/>
    <x v="7"/>
    <x v="7"/>
    <x v="7"/>
    <x v="14"/>
    <x v="269"/>
    <x v="65"/>
    <x v="69"/>
    <x v="149"/>
    <x v="130"/>
    <x v="207"/>
    <x v="2"/>
    <x v="2"/>
  </r>
  <r>
    <x v="38"/>
    <x v="0"/>
    <x v="0"/>
    <x v="3"/>
    <x v="38"/>
    <x v="38"/>
    <x v="20"/>
    <x v="20"/>
    <x v="20"/>
    <x v="20"/>
    <x v="17"/>
    <x v="270"/>
    <x v="125"/>
    <x v="47"/>
    <x v="66"/>
    <x v="77"/>
    <x v="222"/>
    <x v="2"/>
    <x v="2"/>
  </r>
  <r>
    <x v="38"/>
    <x v="0"/>
    <x v="0"/>
    <x v="3"/>
    <x v="38"/>
    <x v="38"/>
    <x v="14"/>
    <x v="14"/>
    <x v="14"/>
    <x v="14"/>
    <x v="18"/>
    <x v="171"/>
    <x v="33"/>
    <x v="111"/>
    <x v="266"/>
    <x v="44"/>
    <x v="247"/>
    <x v="2"/>
    <x v="2"/>
  </r>
  <r>
    <x v="38"/>
    <x v="0"/>
    <x v="0"/>
    <x v="3"/>
    <x v="38"/>
    <x v="38"/>
    <x v="24"/>
    <x v="24"/>
    <x v="24"/>
    <x v="24"/>
    <x v="19"/>
    <x v="271"/>
    <x v="51"/>
    <x v="80"/>
    <x v="272"/>
    <x v="130"/>
    <x v="207"/>
    <x v="2"/>
    <x v="2"/>
  </r>
  <r>
    <x v="39"/>
    <x v="0"/>
    <x v="0"/>
    <x v="3"/>
    <x v="39"/>
    <x v="39"/>
    <x v="1"/>
    <x v="1"/>
    <x v="1"/>
    <x v="1"/>
    <x v="0"/>
    <x v="121"/>
    <x v="294"/>
    <x v="221"/>
    <x v="304"/>
    <x v="106"/>
    <x v="195"/>
    <x v="2"/>
    <x v="2"/>
  </r>
  <r>
    <x v="39"/>
    <x v="0"/>
    <x v="0"/>
    <x v="3"/>
    <x v="39"/>
    <x v="39"/>
    <x v="7"/>
    <x v="7"/>
    <x v="7"/>
    <x v="7"/>
    <x v="1"/>
    <x v="122"/>
    <x v="295"/>
    <x v="112"/>
    <x v="439"/>
    <x v="131"/>
    <x v="248"/>
    <x v="2"/>
    <x v="2"/>
  </r>
  <r>
    <x v="39"/>
    <x v="0"/>
    <x v="0"/>
    <x v="3"/>
    <x v="39"/>
    <x v="39"/>
    <x v="0"/>
    <x v="0"/>
    <x v="0"/>
    <x v="0"/>
    <x v="2"/>
    <x v="87"/>
    <x v="95"/>
    <x v="120"/>
    <x v="440"/>
    <x v="63"/>
    <x v="336"/>
    <x v="2"/>
    <x v="2"/>
  </r>
  <r>
    <x v="39"/>
    <x v="0"/>
    <x v="0"/>
    <x v="3"/>
    <x v="39"/>
    <x v="39"/>
    <x v="6"/>
    <x v="6"/>
    <x v="6"/>
    <x v="6"/>
    <x v="3"/>
    <x v="88"/>
    <x v="200"/>
    <x v="166"/>
    <x v="2"/>
    <x v="126"/>
    <x v="244"/>
    <x v="2"/>
    <x v="2"/>
  </r>
  <r>
    <x v="39"/>
    <x v="0"/>
    <x v="0"/>
    <x v="3"/>
    <x v="39"/>
    <x v="39"/>
    <x v="48"/>
    <x v="48"/>
    <x v="48"/>
    <x v="48"/>
    <x v="4"/>
    <x v="124"/>
    <x v="204"/>
    <x v="59"/>
    <x v="131"/>
    <x v="115"/>
    <x v="337"/>
    <x v="2"/>
    <x v="2"/>
  </r>
  <r>
    <x v="39"/>
    <x v="0"/>
    <x v="0"/>
    <x v="3"/>
    <x v="39"/>
    <x v="39"/>
    <x v="2"/>
    <x v="2"/>
    <x v="2"/>
    <x v="2"/>
    <x v="5"/>
    <x v="129"/>
    <x v="120"/>
    <x v="152"/>
    <x v="441"/>
    <x v="45"/>
    <x v="126"/>
    <x v="2"/>
    <x v="2"/>
  </r>
  <r>
    <x v="39"/>
    <x v="0"/>
    <x v="0"/>
    <x v="3"/>
    <x v="39"/>
    <x v="39"/>
    <x v="36"/>
    <x v="36"/>
    <x v="36"/>
    <x v="36"/>
    <x v="6"/>
    <x v="125"/>
    <x v="224"/>
    <x v="225"/>
    <x v="442"/>
    <x v="101"/>
    <x v="44"/>
    <x v="2"/>
    <x v="2"/>
  </r>
  <r>
    <x v="39"/>
    <x v="0"/>
    <x v="0"/>
    <x v="3"/>
    <x v="39"/>
    <x v="39"/>
    <x v="3"/>
    <x v="3"/>
    <x v="3"/>
    <x v="3"/>
    <x v="7"/>
    <x v="160"/>
    <x v="85"/>
    <x v="94"/>
    <x v="97"/>
    <x v="113"/>
    <x v="55"/>
    <x v="2"/>
    <x v="2"/>
  </r>
  <r>
    <x v="39"/>
    <x v="0"/>
    <x v="0"/>
    <x v="3"/>
    <x v="39"/>
    <x v="39"/>
    <x v="8"/>
    <x v="8"/>
    <x v="8"/>
    <x v="8"/>
    <x v="8"/>
    <x v="138"/>
    <x v="3"/>
    <x v="146"/>
    <x v="437"/>
    <x v="111"/>
    <x v="305"/>
    <x v="2"/>
    <x v="2"/>
  </r>
  <r>
    <x v="39"/>
    <x v="0"/>
    <x v="0"/>
    <x v="3"/>
    <x v="39"/>
    <x v="39"/>
    <x v="10"/>
    <x v="10"/>
    <x v="10"/>
    <x v="10"/>
    <x v="9"/>
    <x v="161"/>
    <x v="108"/>
    <x v="69"/>
    <x v="71"/>
    <x v="63"/>
    <x v="336"/>
    <x v="2"/>
    <x v="2"/>
  </r>
  <r>
    <x v="39"/>
    <x v="0"/>
    <x v="0"/>
    <x v="3"/>
    <x v="39"/>
    <x v="39"/>
    <x v="49"/>
    <x v="49"/>
    <x v="49"/>
    <x v="49"/>
    <x v="9"/>
    <x v="161"/>
    <x v="108"/>
    <x v="94"/>
    <x v="97"/>
    <x v="71"/>
    <x v="54"/>
    <x v="2"/>
    <x v="2"/>
  </r>
  <r>
    <x v="39"/>
    <x v="0"/>
    <x v="0"/>
    <x v="3"/>
    <x v="39"/>
    <x v="39"/>
    <x v="50"/>
    <x v="50"/>
    <x v="50"/>
    <x v="50"/>
    <x v="11"/>
    <x v="267"/>
    <x v="179"/>
    <x v="149"/>
    <x v="27"/>
    <x v="81"/>
    <x v="43"/>
    <x v="2"/>
    <x v="2"/>
  </r>
  <r>
    <x v="39"/>
    <x v="0"/>
    <x v="0"/>
    <x v="3"/>
    <x v="39"/>
    <x v="39"/>
    <x v="5"/>
    <x v="5"/>
    <x v="5"/>
    <x v="5"/>
    <x v="12"/>
    <x v="268"/>
    <x v="141"/>
    <x v="149"/>
    <x v="27"/>
    <x v="68"/>
    <x v="338"/>
    <x v="2"/>
    <x v="2"/>
  </r>
  <r>
    <x v="39"/>
    <x v="0"/>
    <x v="0"/>
    <x v="3"/>
    <x v="39"/>
    <x v="39"/>
    <x v="16"/>
    <x v="16"/>
    <x v="16"/>
    <x v="16"/>
    <x v="13"/>
    <x v="166"/>
    <x v="8"/>
    <x v="47"/>
    <x v="443"/>
    <x v="109"/>
    <x v="339"/>
    <x v="2"/>
    <x v="2"/>
  </r>
  <r>
    <x v="39"/>
    <x v="0"/>
    <x v="0"/>
    <x v="3"/>
    <x v="39"/>
    <x v="39"/>
    <x v="17"/>
    <x v="17"/>
    <x v="17"/>
    <x v="17"/>
    <x v="14"/>
    <x v="168"/>
    <x v="154"/>
    <x v="59"/>
    <x v="131"/>
    <x v="77"/>
    <x v="186"/>
    <x v="2"/>
    <x v="2"/>
  </r>
  <r>
    <x v="39"/>
    <x v="0"/>
    <x v="0"/>
    <x v="3"/>
    <x v="39"/>
    <x v="39"/>
    <x v="27"/>
    <x v="27"/>
    <x v="27"/>
    <x v="27"/>
    <x v="15"/>
    <x v="169"/>
    <x v="262"/>
    <x v="58"/>
    <x v="444"/>
    <x v="81"/>
    <x v="43"/>
    <x v="2"/>
    <x v="2"/>
  </r>
  <r>
    <x v="39"/>
    <x v="0"/>
    <x v="0"/>
    <x v="3"/>
    <x v="39"/>
    <x v="39"/>
    <x v="31"/>
    <x v="31"/>
    <x v="31"/>
    <x v="31"/>
    <x v="15"/>
    <x v="169"/>
    <x v="262"/>
    <x v="149"/>
    <x v="27"/>
    <x v="130"/>
    <x v="207"/>
    <x v="2"/>
    <x v="2"/>
  </r>
  <r>
    <x v="39"/>
    <x v="0"/>
    <x v="0"/>
    <x v="3"/>
    <x v="39"/>
    <x v="39"/>
    <x v="4"/>
    <x v="4"/>
    <x v="4"/>
    <x v="4"/>
    <x v="15"/>
    <x v="169"/>
    <x v="262"/>
    <x v="108"/>
    <x v="181"/>
    <x v="45"/>
    <x v="126"/>
    <x v="2"/>
    <x v="2"/>
  </r>
  <r>
    <x v="39"/>
    <x v="0"/>
    <x v="0"/>
    <x v="3"/>
    <x v="39"/>
    <x v="39"/>
    <x v="45"/>
    <x v="45"/>
    <x v="45"/>
    <x v="45"/>
    <x v="18"/>
    <x v="170"/>
    <x v="10"/>
    <x v="69"/>
    <x v="71"/>
    <x v="131"/>
    <x v="248"/>
    <x v="2"/>
    <x v="2"/>
  </r>
  <r>
    <x v="39"/>
    <x v="0"/>
    <x v="0"/>
    <x v="3"/>
    <x v="39"/>
    <x v="39"/>
    <x v="19"/>
    <x v="19"/>
    <x v="19"/>
    <x v="19"/>
    <x v="19"/>
    <x v="270"/>
    <x v="14"/>
    <x v="78"/>
    <x v="356"/>
    <x v="101"/>
    <x v="44"/>
    <x v="2"/>
    <x v="2"/>
  </r>
  <r>
    <x v="40"/>
    <x v="0"/>
    <x v="0"/>
    <x v="3"/>
    <x v="40"/>
    <x v="40"/>
    <x v="0"/>
    <x v="0"/>
    <x v="0"/>
    <x v="0"/>
    <x v="0"/>
    <x v="106"/>
    <x v="296"/>
    <x v="73"/>
    <x v="445"/>
    <x v="55"/>
    <x v="213"/>
    <x v="2"/>
    <x v="2"/>
  </r>
  <r>
    <x v="40"/>
    <x v="0"/>
    <x v="0"/>
    <x v="3"/>
    <x v="40"/>
    <x v="40"/>
    <x v="1"/>
    <x v="1"/>
    <x v="1"/>
    <x v="1"/>
    <x v="1"/>
    <x v="98"/>
    <x v="297"/>
    <x v="40"/>
    <x v="446"/>
    <x v="42"/>
    <x v="159"/>
    <x v="2"/>
    <x v="2"/>
  </r>
  <r>
    <x v="40"/>
    <x v="0"/>
    <x v="0"/>
    <x v="3"/>
    <x v="40"/>
    <x v="40"/>
    <x v="4"/>
    <x v="4"/>
    <x v="4"/>
    <x v="4"/>
    <x v="2"/>
    <x v="78"/>
    <x v="244"/>
    <x v="30"/>
    <x v="447"/>
    <x v="101"/>
    <x v="340"/>
    <x v="2"/>
    <x v="2"/>
  </r>
  <r>
    <x v="40"/>
    <x v="0"/>
    <x v="0"/>
    <x v="3"/>
    <x v="40"/>
    <x v="40"/>
    <x v="6"/>
    <x v="6"/>
    <x v="6"/>
    <x v="6"/>
    <x v="3"/>
    <x v="117"/>
    <x v="252"/>
    <x v="75"/>
    <x v="82"/>
    <x v="107"/>
    <x v="341"/>
    <x v="2"/>
    <x v="2"/>
  </r>
  <r>
    <x v="40"/>
    <x v="0"/>
    <x v="0"/>
    <x v="3"/>
    <x v="40"/>
    <x v="40"/>
    <x v="3"/>
    <x v="3"/>
    <x v="3"/>
    <x v="3"/>
    <x v="4"/>
    <x v="172"/>
    <x v="128"/>
    <x v="136"/>
    <x v="177"/>
    <x v="101"/>
    <x v="340"/>
    <x v="2"/>
    <x v="2"/>
  </r>
  <r>
    <x v="40"/>
    <x v="0"/>
    <x v="0"/>
    <x v="3"/>
    <x v="40"/>
    <x v="40"/>
    <x v="5"/>
    <x v="5"/>
    <x v="5"/>
    <x v="5"/>
    <x v="5"/>
    <x v="54"/>
    <x v="43"/>
    <x v="81"/>
    <x v="448"/>
    <x v="107"/>
    <x v="341"/>
    <x v="2"/>
    <x v="2"/>
  </r>
  <r>
    <x v="40"/>
    <x v="0"/>
    <x v="0"/>
    <x v="3"/>
    <x v="40"/>
    <x v="40"/>
    <x v="2"/>
    <x v="2"/>
    <x v="2"/>
    <x v="2"/>
    <x v="6"/>
    <x v="84"/>
    <x v="298"/>
    <x v="192"/>
    <x v="449"/>
    <x v="106"/>
    <x v="335"/>
    <x v="2"/>
    <x v="2"/>
  </r>
  <r>
    <x v="40"/>
    <x v="0"/>
    <x v="0"/>
    <x v="3"/>
    <x v="40"/>
    <x v="40"/>
    <x v="7"/>
    <x v="7"/>
    <x v="7"/>
    <x v="7"/>
    <x v="7"/>
    <x v="121"/>
    <x v="77"/>
    <x v="81"/>
    <x v="448"/>
    <x v="131"/>
    <x v="84"/>
    <x v="2"/>
    <x v="2"/>
  </r>
  <r>
    <x v="40"/>
    <x v="0"/>
    <x v="0"/>
    <x v="3"/>
    <x v="40"/>
    <x v="40"/>
    <x v="10"/>
    <x v="10"/>
    <x v="10"/>
    <x v="10"/>
    <x v="8"/>
    <x v="57"/>
    <x v="78"/>
    <x v="120"/>
    <x v="450"/>
    <x v="72"/>
    <x v="74"/>
    <x v="2"/>
    <x v="2"/>
  </r>
  <r>
    <x v="40"/>
    <x v="0"/>
    <x v="0"/>
    <x v="3"/>
    <x v="40"/>
    <x v="40"/>
    <x v="8"/>
    <x v="8"/>
    <x v="8"/>
    <x v="8"/>
    <x v="8"/>
    <x v="57"/>
    <x v="78"/>
    <x v="125"/>
    <x v="451"/>
    <x v="82"/>
    <x v="11"/>
    <x v="2"/>
    <x v="2"/>
  </r>
  <r>
    <x v="40"/>
    <x v="0"/>
    <x v="0"/>
    <x v="3"/>
    <x v="40"/>
    <x v="40"/>
    <x v="16"/>
    <x v="16"/>
    <x v="16"/>
    <x v="16"/>
    <x v="10"/>
    <x v="137"/>
    <x v="111"/>
    <x v="55"/>
    <x v="285"/>
    <x v="91"/>
    <x v="302"/>
    <x v="2"/>
    <x v="2"/>
  </r>
  <r>
    <x v="40"/>
    <x v="0"/>
    <x v="0"/>
    <x v="3"/>
    <x v="40"/>
    <x v="40"/>
    <x v="19"/>
    <x v="19"/>
    <x v="19"/>
    <x v="19"/>
    <x v="11"/>
    <x v="85"/>
    <x v="152"/>
    <x v="117"/>
    <x v="452"/>
    <x v="51"/>
    <x v="212"/>
    <x v="2"/>
    <x v="2"/>
  </r>
  <r>
    <x v="40"/>
    <x v="0"/>
    <x v="0"/>
    <x v="3"/>
    <x v="40"/>
    <x v="40"/>
    <x v="14"/>
    <x v="14"/>
    <x v="14"/>
    <x v="14"/>
    <x v="12"/>
    <x v="112"/>
    <x v="154"/>
    <x v="55"/>
    <x v="285"/>
    <x v="84"/>
    <x v="66"/>
    <x v="2"/>
    <x v="2"/>
  </r>
  <r>
    <x v="40"/>
    <x v="0"/>
    <x v="0"/>
    <x v="3"/>
    <x v="40"/>
    <x v="40"/>
    <x v="15"/>
    <x v="15"/>
    <x v="15"/>
    <x v="15"/>
    <x v="13"/>
    <x v="113"/>
    <x v="29"/>
    <x v="96"/>
    <x v="157"/>
    <x v="43"/>
    <x v="162"/>
    <x v="2"/>
    <x v="2"/>
  </r>
  <r>
    <x v="40"/>
    <x v="0"/>
    <x v="0"/>
    <x v="3"/>
    <x v="40"/>
    <x v="40"/>
    <x v="17"/>
    <x v="17"/>
    <x v="17"/>
    <x v="17"/>
    <x v="14"/>
    <x v="128"/>
    <x v="246"/>
    <x v="57"/>
    <x v="16"/>
    <x v="99"/>
    <x v="284"/>
    <x v="2"/>
    <x v="2"/>
  </r>
  <r>
    <x v="40"/>
    <x v="0"/>
    <x v="0"/>
    <x v="3"/>
    <x v="40"/>
    <x v="40"/>
    <x v="36"/>
    <x v="36"/>
    <x v="36"/>
    <x v="36"/>
    <x v="15"/>
    <x v="87"/>
    <x v="12"/>
    <x v="80"/>
    <x v="162"/>
    <x v="42"/>
    <x v="159"/>
    <x v="2"/>
    <x v="2"/>
  </r>
  <r>
    <x v="40"/>
    <x v="0"/>
    <x v="0"/>
    <x v="3"/>
    <x v="40"/>
    <x v="40"/>
    <x v="37"/>
    <x v="37"/>
    <x v="37"/>
    <x v="37"/>
    <x v="16"/>
    <x v="88"/>
    <x v="13"/>
    <x v="122"/>
    <x v="453"/>
    <x v="41"/>
    <x v="152"/>
    <x v="2"/>
    <x v="2"/>
  </r>
  <r>
    <x v="40"/>
    <x v="0"/>
    <x v="0"/>
    <x v="3"/>
    <x v="40"/>
    <x v="40"/>
    <x v="9"/>
    <x v="9"/>
    <x v="9"/>
    <x v="9"/>
    <x v="17"/>
    <x v="123"/>
    <x v="166"/>
    <x v="47"/>
    <x v="126"/>
    <x v="59"/>
    <x v="234"/>
    <x v="2"/>
    <x v="2"/>
  </r>
  <r>
    <x v="40"/>
    <x v="0"/>
    <x v="0"/>
    <x v="3"/>
    <x v="40"/>
    <x v="40"/>
    <x v="13"/>
    <x v="13"/>
    <x v="13"/>
    <x v="13"/>
    <x v="18"/>
    <x v="124"/>
    <x v="167"/>
    <x v="57"/>
    <x v="16"/>
    <x v="60"/>
    <x v="308"/>
    <x v="2"/>
    <x v="2"/>
  </r>
  <r>
    <x v="40"/>
    <x v="0"/>
    <x v="0"/>
    <x v="3"/>
    <x v="40"/>
    <x v="40"/>
    <x v="27"/>
    <x v="27"/>
    <x v="27"/>
    <x v="27"/>
    <x v="19"/>
    <x v="129"/>
    <x v="183"/>
    <x v="142"/>
    <x v="347"/>
    <x v="107"/>
    <x v="341"/>
    <x v="2"/>
    <x v="2"/>
  </r>
  <r>
    <x v="41"/>
    <x v="0"/>
    <x v="0"/>
    <x v="3"/>
    <x v="41"/>
    <x v="41"/>
    <x v="0"/>
    <x v="0"/>
    <x v="0"/>
    <x v="0"/>
    <x v="0"/>
    <x v="272"/>
    <x v="299"/>
    <x v="226"/>
    <x v="454"/>
    <x v="158"/>
    <x v="85"/>
    <x v="1"/>
    <x v="18"/>
  </r>
  <r>
    <x v="41"/>
    <x v="0"/>
    <x v="0"/>
    <x v="3"/>
    <x v="41"/>
    <x v="41"/>
    <x v="11"/>
    <x v="11"/>
    <x v="11"/>
    <x v="11"/>
    <x v="1"/>
    <x v="115"/>
    <x v="300"/>
    <x v="38"/>
    <x v="407"/>
    <x v="40"/>
    <x v="176"/>
    <x v="2"/>
    <x v="2"/>
  </r>
  <r>
    <x v="41"/>
    <x v="0"/>
    <x v="0"/>
    <x v="3"/>
    <x v="41"/>
    <x v="41"/>
    <x v="1"/>
    <x v="1"/>
    <x v="1"/>
    <x v="1"/>
    <x v="2"/>
    <x v="174"/>
    <x v="301"/>
    <x v="168"/>
    <x v="244"/>
    <x v="91"/>
    <x v="111"/>
    <x v="2"/>
    <x v="2"/>
  </r>
  <r>
    <x v="41"/>
    <x v="0"/>
    <x v="0"/>
    <x v="3"/>
    <x v="41"/>
    <x v="41"/>
    <x v="9"/>
    <x v="9"/>
    <x v="9"/>
    <x v="9"/>
    <x v="3"/>
    <x v="144"/>
    <x v="86"/>
    <x v="117"/>
    <x v="221"/>
    <x v="179"/>
    <x v="342"/>
    <x v="1"/>
    <x v="18"/>
  </r>
  <r>
    <x v="41"/>
    <x v="0"/>
    <x v="0"/>
    <x v="3"/>
    <x v="41"/>
    <x v="41"/>
    <x v="2"/>
    <x v="2"/>
    <x v="2"/>
    <x v="2"/>
    <x v="4"/>
    <x v="273"/>
    <x v="27"/>
    <x v="227"/>
    <x v="386"/>
    <x v="113"/>
    <x v="127"/>
    <x v="2"/>
    <x v="2"/>
  </r>
  <r>
    <x v="41"/>
    <x v="0"/>
    <x v="0"/>
    <x v="3"/>
    <x v="41"/>
    <x v="41"/>
    <x v="6"/>
    <x v="6"/>
    <x v="6"/>
    <x v="6"/>
    <x v="5"/>
    <x v="230"/>
    <x v="75"/>
    <x v="227"/>
    <x v="386"/>
    <x v="81"/>
    <x v="248"/>
    <x v="2"/>
    <x v="2"/>
  </r>
  <r>
    <x v="41"/>
    <x v="0"/>
    <x v="0"/>
    <x v="3"/>
    <x v="41"/>
    <x v="41"/>
    <x v="8"/>
    <x v="8"/>
    <x v="8"/>
    <x v="8"/>
    <x v="6"/>
    <x v="155"/>
    <x v="110"/>
    <x v="97"/>
    <x v="455"/>
    <x v="124"/>
    <x v="261"/>
    <x v="2"/>
    <x v="2"/>
  </r>
  <r>
    <x v="41"/>
    <x v="0"/>
    <x v="0"/>
    <x v="3"/>
    <x v="41"/>
    <x v="41"/>
    <x v="19"/>
    <x v="19"/>
    <x v="19"/>
    <x v="19"/>
    <x v="7"/>
    <x v="127"/>
    <x v="111"/>
    <x v="123"/>
    <x v="456"/>
    <x v="78"/>
    <x v="179"/>
    <x v="2"/>
    <x v="2"/>
  </r>
  <r>
    <x v="41"/>
    <x v="0"/>
    <x v="0"/>
    <x v="3"/>
    <x v="41"/>
    <x v="41"/>
    <x v="5"/>
    <x v="5"/>
    <x v="5"/>
    <x v="5"/>
    <x v="7"/>
    <x v="127"/>
    <x v="111"/>
    <x v="30"/>
    <x v="97"/>
    <x v="109"/>
    <x v="209"/>
    <x v="2"/>
    <x v="2"/>
  </r>
  <r>
    <x v="41"/>
    <x v="0"/>
    <x v="0"/>
    <x v="3"/>
    <x v="41"/>
    <x v="41"/>
    <x v="7"/>
    <x v="7"/>
    <x v="7"/>
    <x v="7"/>
    <x v="9"/>
    <x v="108"/>
    <x v="133"/>
    <x v="90"/>
    <x v="457"/>
    <x v="113"/>
    <x v="127"/>
    <x v="2"/>
    <x v="2"/>
  </r>
  <r>
    <x v="41"/>
    <x v="0"/>
    <x v="0"/>
    <x v="3"/>
    <x v="41"/>
    <x v="41"/>
    <x v="4"/>
    <x v="4"/>
    <x v="4"/>
    <x v="4"/>
    <x v="9"/>
    <x v="108"/>
    <x v="133"/>
    <x v="210"/>
    <x v="458"/>
    <x v="98"/>
    <x v="320"/>
    <x v="2"/>
    <x v="2"/>
  </r>
  <r>
    <x v="41"/>
    <x v="0"/>
    <x v="0"/>
    <x v="3"/>
    <x v="41"/>
    <x v="41"/>
    <x v="3"/>
    <x v="3"/>
    <x v="3"/>
    <x v="3"/>
    <x v="11"/>
    <x v="147"/>
    <x v="165"/>
    <x v="39"/>
    <x v="282"/>
    <x v="42"/>
    <x v="343"/>
    <x v="2"/>
    <x v="2"/>
  </r>
  <r>
    <x v="41"/>
    <x v="0"/>
    <x v="0"/>
    <x v="3"/>
    <x v="41"/>
    <x v="41"/>
    <x v="16"/>
    <x v="16"/>
    <x v="16"/>
    <x v="16"/>
    <x v="12"/>
    <x v="80"/>
    <x v="49"/>
    <x v="84"/>
    <x v="33"/>
    <x v="180"/>
    <x v="186"/>
    <x v="2"/>
    <x v="2"/>
  </r>
  <r>
    <x v="41"/>
    <x v="0"/>
    <x v="0"/>
    <x v="3"/>
    <x v="41"/>
    <x v="41"/>
    <x v="15"/>
    <x v="15"/>
    <x v="15"/>
    <x v="15"/>
    <x v="13"/>
    <x v="67"/>
    <x v="181"/>
    <x v="56"/>
    <x v="32"/>
    <x v="78"/>
    <x v="179"/>
    <x v="2"/>
    <x v="2"/>
  </r>
  <r>
    <x v="41"/>
    <x v="0"/>
    <x v="0"/>
    <x v="3"/>
    <x v="41"/>
    <x v="41"/>
    <x v="13"/>
    <x v="13"/>
    <x v="13"/>
    <x v="13"/>
    <x v="14"/>
    <x v="117"/>
    <x v="10"/>
    <x v="59"/>
    <x v="16"/>
    <x v="125"/>
    <x v="344"/>
    <x v="2"/>
    <x v="2"/>
  </r>
  <r>
    <x v="41"/>
    <x v="0"/>
    <x v="0"/>
    <x v="3"/>
    <x v="41"/>
    <x v="41"/>
    <x v="17"/>
    <x v="17"/>
    <x v="17"/>
    <x v="17"/>
    <x v="15"/>
    <x v="68"/>
    <x v="195"/>
    <x v="126"/>
    <x v="116"/>
    <x v="87"/>
    <x v="219"/>
    <x v="2"/>
    <x v="2"/>
  </r>
  <r>
    <x v="41"/>
    <x v="0"/>
    <x v="0"/>
    <x v="3"/>
    <x v="41"/>
    <x v="41"/>
    <x v="36"/>
    <x v="36"/>
    <x v="36"/>
    <x v="36"/>
    <x v="16"/>
    <x v="82"/>
    <x v="90"/>
    <x v="72"/>
    <x v="459"/>
    <x v="104"/>
    <x v="287"/>
    <x v="2"/>
    <x v="2"/>
  </r>
  <r>
    <x v="41"/>
    <x v="0"/>
    <x v="0"/>
    <x v="3"/>
    <x v="41"/>
    <x v="41"/>
    <x v="14"/>
    <x v="14"/>
    <x v="14"/>
    <x v="14"/>
    <x v="16"/>
    <x v="82"/>
    <x v="90"/>
    <x v="47"/>
    <x v="84"/>
    <x v="154"/>
    <x v="198"/>
    <x v="2"/>
    <x v="2"/>
  </r>
  <r>
    <x v="41"/>
    <x v="0"/>
    <x v="0"/>
    <x v="3"/>
    <x v="41"/>
    <x v="41"/>
    <x v="41"/>
    <x v="41"/>
    <x v="41"/>
    <x v="41"/>
    <x v="18"/>
    <x v="119"/>
    <x v="16"/>
    <x v="124"/>
    <x v="397"/>
    <x v="98"/>
    <x v="320"/>
    <x v="2"/>
    <x v="2"/>
  </r>
  <r>
    <x v="41"/>
    <x v="0"/>
    <x v="0"/>
    <x v="3"/>
    <x v="41"/>
    <x v="41"/>
    <x v="20"/>
    <x v="20"/>
    <x v="20"/>
    <x v="20"/>
    <x v="19"/>
    <x v="54"/>
    <x v="247"/>
    <x v="51"/>
    <x v="285"/>
    <x v="160"/>
    <x v="33"/>
    <x v="2"/>
    <x v="2"/>
  </r>
  <r>
    <x v="42"/>
    <x v="0"/>
    <x v="0"/>
    <x v="3"/>
    <x v="42"/>
    <x v="42"/>
    <x v="0"/>
    <x v="0"/>
    <x v="0"/>
    <x v="0"/>
    <x v="0"/>
    <x v="274"/>
    <x v="302"/>
    <x v="228"/>
    <x v="460"/>
    <x v="78"/>
    <x v="102"/>
    <x v="2"/>
    <x v="2"/>
  </r>
  <r>
    <x v="42"/>
    <x v="0"/>
    <x v="0"/>
    <x v="3"/>
    <x v="42"/>
    <x v="42"/>
    <x v="1"/>
    <x v="1"/>
    <x v="1"/>
    <x v="1"/>
    <x v="1"/>
    <x v="226"/>
    <x v="251"/>
    <x v="229"/>
    <x v="461"/>
    <x v="46"/>
    <x v="249"/>
    <x v="2"/>
    <x v="2"/>
  </r>
  <r>
    <x v="42"/>
    <x v="0"/>
    <x v="0"/>
    <x v="3"/>
    <x v="42"/>
    <x v="42"/>
    <x v="2"/>
    <x v="2"/>
    <x v="2"/>
    <x v="2"/>
    <x v="2"/>
    <x v="275"/>
    <x v="303"/>
    <x v="230"/>
    <x v="462"/>
    <x v="101"/>
    <x v="35"/>
    <x v="2"/>
    <x v="2"/>
  </r>
  <r>
    <x v="42"/>
    <x v="0"/>
    <x v="0"/>
    <x v="3"/>
    <x v="42"/>
    <x v="42"/>
    <x v="7"/>
    <x v="7"/>
    <x v="7"/>
    <x v="7"/>
    <x v="3"/>
    <x v="126"/>
    <x v="85"/>
    <x v="231"/>
    <x v="463"/>
    <x v="106"/>
    <x v="151"/>
    <x v="2"/>
    <x v="2"/>
  </r>
  <r>
    <x v="42"/>
    <x v="0"/>
    <x v="0"/>
    <x v="3"/>
    <x v="42"/>
    <x v="42"/>
    <x v="3"/>
    <x v="3"/>
    <x v="3"/>
    <x v="3"/>
    <x v="4"/>
    <x v="145"/>
    <x v="40"/>
    <x v="189"/>
    <x v="464"/>
    <x v="42"/>
    <x v="43"/>
    <x v="2"/>
    <x v="2"/>
  </r>
  <r>
    <x v="42"/>
    <x v="0"/>
    <x v="0"/>
    <x v="3"/>
    <x v="42"/>
    <x v="42"/>
    <x v="5"/>
    <x v="5"/>
    <x v="5"/>
    <x v="5"/>
    <x v="5"/>
    <x v="238"/>
    <x v="73"/>
    <x v="165"/>
    <x v="23"/>
    <x v="61"/>
    <x v="264"/>
    <x v="2"/>
    <x v="2"/>
  </r>
  <r>
    <x v="42"/>
    <x v="0"/>
    <x v="0"/>
    <x v="3"/>
    <x v="42"/>
    <x v="42"/>
    <x v="6"/>
    <x v="6"/>
    <x v="6"/>
    <x v="6"/>
    <x v="6"/>
    <x v="210"/>
    <x v="304"/>
    <x v="90"/>
    <x v="465"/>
    <x v="61"/>
    <x v="264"/>
    <x v="2"/>
    <x v="2"/>
  </r>
  <r>
    <x v="42"/>
    <x v="0"/>
    <x v="0"/>
    <x v="3"/>
    <x v="42"/>
    <x v="42"/>
    <x v="4"/>
    <x v="4"/>
    <x v="4"/>
    <x v="4"/>
    <x v="7"/>
    <x v="48"/>
    <x v="108"/>
    <x v="46"/>
    <x v="466"/>
    <x v="82"/>
    <x v="73"/>
    <x v="2"/>
    <x v="2"/>
  </r>
  <r>
    <x v="42"/>
    <x v="0"/>
    <x v="0"/>
    <x v="3"/>
    <x v="42"/>
    <x v="42"/>
    <x v="9"/>
    <x v="9"/>
    <x v="9"/>
    <x v="9"/>
    <x v="8"/>
    <x v="78"/>
    <x v="162"/>
    <x v="54"/>
    <x v="126"/>
    <x v="177"/>
    <x v="345"/>
    <x v="2"/>
    <x v="2"/>
  </r>
  <r>
    <x v="42"/>
    <x v="0"/>
    <x v="0"/>
    <x v="3"/>
    <x v="42"/>
    <x v="42"/>
    <x v="8"/>
    <x v="8"/>
    <x v="8"/>
    <x v="8"/>
    <x v="9"/>
    <x v="239"/>
    <x v="77"/>
    <x v="77"/>
    <x v="450"/>
    <x v="104"/>
    <x v="30"/>
    <x v="2"/>
    <x v="2"/>
  </r>
  <r>
    <x v="42"/>
    <x v="0"/>
    <x v="0"/>
    <x v="3"/>
    <x v="42"/>
    <x v="42"/>
    <x v="11"/>
    <x v="11"/>
    <x v="11"/>
    <x v="11"/>
    <x v="10"/>
    <x v="79"/>
    <x v="286"/>
    <x v="94"/>
    <x v="467"/>
    <x v="65"/>
    <x v="346"/>
    <x v="2"/>
    <x v="2"/>
  </r>
  <r>
    <x v="42"/>
    <x v="0"/>
    <x v="0"/>
    <x v="3"/>
    <x v="42"/>
    <x v="42"/>
    <x v="14"/>
    <x v="14"/>
    <x v="14"/>
    <x v="14"/>
    <x v="11"/>
    <x v="83"/>
    <x v="181"/>
    <x v="54"/>
    <x v="126"/>
    <x v="161"/>
    <x v="147"/>
    <x v="2"/>
    <x v="2"/>
  </r>
  <r>
    <x v="42"/>
    <x v="0"/>
    <x v="0"/>
    <x v="3"/>
    <x v="42"/>
    <x v="42"/>
    <x v="13"/>
    <x v="13"/>
    <x v="13"/>
    <x v="13"/>
    <x v="12"/>
    <x v="71"/>
    <x v="32"/>
    <x v="57"/>
    <x v="54"/>
    <x v="96"/>
    <x v="315"/>
    <x v="2"/>
    <x v="2"/>
  </r>
  <r>
    <x v="42"/>
    <x v="0"/>
    <x v="0"/>
    <x v="3"/>
    <x v="42"/>
    <x v="42"/>
    <x v="19"/>
    <x v="19"/>
    <x v="19"/>
    <x v="19"/>
    <x v="13"/>
    <x v="55"/>
    <x v="166"/>
    <x v="146"/>
    <x v="162"/>
    <x v="73"/>
    <x v="61"/>
    <x v="2"/>
    <x v="2"/>
  </r>
  <r>
    <x v="42"/>
    <x v="0"/>
    <x v="0"/>
    <x v="3"/>
    <x v="42"/>
    <x v="42"/>
    <x v="10"/>
    <x v="10"/>
    <x v="10"/>
    <x v="10"/>
    <x v="14"/>
    <x v="121"/>
    <x v="15"/>
    <x v="115"/>
    <x v="253"/>
    <x v="116"/>
    <x v="152"/>
    <x v="2"/>
    <x v="2"/>
  </r>
  <r>
    <x v="42"/>
    <x v="0"/>
    <x v="0"/>
    <x v="3"/>
    <x v="42"/>
    <x v="42"/>
    <x v="17"/>
    <x v="17"/>
    <x v="17"/>
    <x v="17"/>
    <x v="15"/>
    <x v="57"/>
    <x v="35"/>
    <x v="59"/>
    <x v="96"/>
    <x v="85"/>
    <x v="219"/>
    <x v="2"/>
    <x v="2"/>
  </r>
  <r>
    <x v="42"/>
    <x v="0"/>
    <x v="0"/>
    <x v="3"/>
    <x v="42"/>
    <x v="42"/>
    <x v="20"/>
    <x v="20"/>
    <x v="20"/>
    <x v="20"/>
    <x v="15"/>
    <x v="57"/>
    <x v="35"/>
    <x v="84"/>
    <x v="356"/>
    <x v="91"/>
    <x v="240"/>
    <x v="2"/>
    <x v="2"/>
  </r>
  <r>
    <x v="42"/>
    <x v="0"/>
    <x v="0"/>
    <x v="3"/>
    <x v="42"/>
    <x v="42"/>
    <x v="22"/>
    <x v="22"/>
    <x v="22"/>
    <x v="22"/>
    <x v="15"/>
    <x v="57"/>
    <x v="35"/>
    <x v="58"/>
    <x v="271"/>
    <x v="55"/>
    <x v="153"/>
    <x v="2"/>
    <x v="2"/>
  </r>
  <r>
    <x v="42"/>
    <x v="0"/>
    <x v="0"/>
    <x v="3"/>
    <x v="42"/>
    <x v="42"/>
    <x v="12"/>
    <x v="12"/>
    <x v="12"/>
    <x v="12"/>
    <x v="18"/>
    <x v="73"/>
    <x v="66"/>
    <x v="122"/>
    <x v="468"/>
    <x v="117"/>
    <x v="205"/>
    <x v="2"/>
    <x v="2"/>
  </r>
  <r>
    <x v="42"/>
    <x v="0"/>
    <x v="0"/>
    <x v="3"/>
    <x v="42"/>
    <x v="42"/>
    <x v="37"/>
    <x v="37"/>
    <x v="37"/>
    <x v="37"/>
    <x v="19"/>
    <x v="85"/>
    <x v="68"/>
    <x v="138"/>
    <x v="397"/>
    <x v="109"/>
    <x v="161"/>
    <x v="2"/>
    <x v="2"/>
  </r>
  <r>
    <x v="43"/>
    <x v="0"/>
    <x v="0"/>
    <x v="3"/>
    <x v="43"/>
    <x v="43"/>
    <x v="0"/>
    <x v="0"/>
    <x v="0"/>
    <x v="0"/>
    <x v="0"/>
    <x v="276"/>
    <x v="305"/>
    <x v="232"/>
    <x v="469"/>
    <x v="72"/>
    <x v="347"/>
    <x v="2"/>
    <x v="2"/>
  </r>
  <r>
    <x v="43"/>
    <x v="0"/>
    <x v="0"/>
    <x v="3"/>
    <x v="43"/>
    <x v="43"/>
    <x v="1"/>
    <x v="1"/>
    <x v="1"/>
    <x v="1"/>
    <x v="1"/>
    <x v="202"/>
    <x v="306"/>
    <x v="49"/>
    <x v="148"/>
    <x v="101"/>
    <x v="348"/>
    <x v="2"/>
    <x v="2"/>
  </r>
  <r>
    <x v="43"/>
    <x v="0"/>
    <x v="0"/>
    <x v="3"/>
    <x v="43"/>
    <x v="43"/>
    <x v="11"/>
    <x v="11"/>
    <x v="11"/>
    <x v="11"/>
    <x v="2"/>
    <x v="59"/>
    <x v="187"/>
    <x v="120"/>
    <x v="470"/>
    <x v="105"/>
    <x v="255"/>
    <x v="2"/>
    <x v="2"/>
  </r>
  <r>
    <x v="43"/>
    <x v="0"/>
    <x v="0"/>
    <x v="3"/>
    <x v="43"/>
    <x v="43"/>
    <x v="2"/>
    <x v="2"/>
    <x v="2"/>
    <x v="2"/>
    <x v="2"/>
    <x v="59"/>
    <x v="187"/>
    <x v="77"/>
    <x v="471"/>
    <x v="81"/>
    <x v="103"/>
    <x v="2"/>
    <x v="2"/>
  </r>
  <r>
    <x v="43"/>
    <x v="0"/>
    <x v="0"/>
    <x v="3"/>
    <x v="43"/>
    <x v="43"/>
    <x v="7"/>
    <x v="7"/>
    <x v="7"/>
    <x v="7"/>
    <x v="2"/>
    <x v="59"/>
    <x v="187"/>
    <x v="114"/>
    <x v="472"/>
    <x v="68"/>
    <x v="133"/>
    <x v="2"/>
    <x v="2"/>
  </r>
  <r>
    <x v="43"/>
    <x v="0"/>
    <x v="0"/>
    <x v="3"/>
    <x v="43"/>
    <x v="43"/>
    <x v="6"/>
    <x v="6"/>
    <x v="6"/>
    <x v="6"/>
    <x v="2"/>
    <x v="59"/>
    <x v="187"/>
    <x v="29"/>
    <x v="473"/>
    <x v="71"/>
    <x v="349"/>
    <x v="2"/>
    <x v="2"/>
  </r>
  <r>
    <x v="43"/>
    <x v="0"/>
    <x v="0"/>
    <x v="3"/>
    <x v="43"/>
    <x v="43"/>
    <x v="3"/>
    <x v="3"/>
    <x v="3"/>
    <x v="3"/>
    <x v="6"/>
    <x v="111"/>
    <x v="109"/>
    <x v="68"/>
    <x v="299"/>
    <x v="63"/>
    <x v="119"/>
    <x v="2"/>
    <x v="2"/>
  </r>
  <r>
    <x v="43"/>
    <x v="0"/>
    <x v="0"/>
    <x v="3"/>
    <x v="43"/>
    <x v="43"/>
    <x v="9"/>
    <x v="9"/>
    <x v="9"/>
    <x v="9"/>
    <x v="7"/>
    <x v="86"/>
    <x v="45"/>
    <x v="67"/>
    <x v="158"/>
    <x v="98"/>
    <x v="190"/>
    <x v="2"/>
    <x v="2"/>
  </r>
  <r>
    <x v="43"/>
    <x v="0"/>
    <x v="0"/>
    <x v="3"/>
    <x v="43"/>
    <x v="43"/>
    <x v="5"/>
    <x v="5"/>
    <x v="5"/>
    <x v="5"/>
    <x v="7"/>
    <x v="86"/>
    <x v="45"/>
    <x v="147"/>
    <x v="332"/>
    <x v="68"/>
    <x v="133"/>
    <x v="2"/>
    <x v="2"/>
  </r>
  <r>
    <x v="43"/>
    <x v="0"/>
    <x v="0"/>
    <x v="3"/>
    <x v="43"/>
    <x v="43"/>
    <x v="16"/>
    <x v="16"/>
    <x v="16"/>
    <x v="16"/>
    <x v="9"/>
    <x v="88"/>
    <x v="165"/>
    <x v="59"/>
    <x v="232"/>
    <x v="60"/>
    <x v="41"/>
    <x v="2"/>
    <x v="2"/>
  </r>
  <r>
    <x v="43"/>
    <x v="0"/>
    <x v="0"/>
    <x v="3"/>
    <x v="43"/>
    <x v="43"/>
    <x v="8"/>
    <x v="8"/>
    <x v="8"/>
    <x v="8"/>
    <x v="10"/>
    <x v="124"/>
    <x v="123"/>
    <x v="117"/>
    <x v="474"/>
    <x v="105"/>
    <x v="255"/>
    <x v="2"/>
    <x v="2"/>
  </r>
  <r>
    <x v="43"/>
    <x v="0"/>
    <x v="0"/>
    <x v="3"/>
    <x v="43"/>
    <x v="43"/>
    <x v="4"/>
    <x v="4"/>
    <x v="4"/>
    <x v="4"/>
    <x v="10"/>
    <x v="124"/>
    <x v="123"/>
    <x v="138"/>
    <x v="130"/>
    <x v="100"/>
    <x v="100"/>
    <x v="2"/>
    <x v="2"/>
  </r>
  <r>
    <x v="43"/>
    <x v="0"/>
    <x v="0"/>
    <x v="3"/>
    <x v="43"/>
    <x v="43"/>
    <x v="36"/>
    <x v="36"/>
    <x v="36"/>
    <x v="36"/>
    <x v="12"/>
    <x v="125"/>
    <x v="174"/>
    <x v="67"/>
    <x v="158"/>
    <x v="110"/>
    <x v="344"/>
    <x v="2"/>
    <x v="2"/>
  </r>
  <r>
    <x v="43"/>
    <x v="0"/>
    <x v="0"/>
    <x v="3"/>
    <x v="43"/>
    <x v="43"/>
    <x v="34"/>
    <x v="34"/>
    <x v="34"/>
    <x v="34"/>
    <x v="12"/>
    <x v="125"/>
    <x v="174"/>
    <x v="138"/>
    <x v="130"/>
    <x v="45"/>
    <x v="239"/>
    <x v="2"/>
    <x v="2"/>
  </r>
  <r>
    <x v="43"/>
    <x v="0"/>
    <x v="0"/>
    <x v="3"/>
    <x v="43"/>
    <x v="43"/>
    <x v="19"/>
    <x v="19"/>
    <x v="19"/>
    <x v="19"/>
    <x v="14"/>
    <x v="131"/>
    <x v="212"/>
    <x v="67"/>
    <x v="158"/>
    <x v="129"/>
    <x v="130"/>
    <x v="2"/>
    <x v="2"/>
  </r>
  <r>
    <x v="43"/>
    <x v="0"/>
    <x v="0"/>
    <x v="3"/>
    <x v="43"/>
    <x v="43"/>
    <x v="10"/>
    <x v="10"/>
    <x v="10"/>
    <x v="10"/>
    <x v="15"/>
    <x v="161"/>
    <x v="183"/>
    <x v="67"/>
    <x v="158"/>
    <x v="108"/>
    <x v="50"/>
    <x v="2"/>
    <x v="2"/>
  </r>
  <r>
    <x v="43"/>
    <x v="0"/>
    <x v="0"/>
    <x v="3"/>
    <x v="43"/>
    <x v="43"/>
    <x v="20"/>
    <x v="20"/>
    <x v="20"/>
    <x v="20"/>
    <x v="16"/>
    <x v="267"/>
    <x v="67"/>
    <x v="57"/>
    <x v="111"/>
    <x v="105"/>
    <x v="255"/>
    <x v="2"/>
    <x v="2"/>
  </r>
  <r>
    <x v="43"/>
    <x v="0"/>
    <x v="0"/>
    <x v="3"/>
    <x v="43"/>
    <x v="43"/>
    <x v="41"/>
    <x v="41"/>
    <x v="41"/>
    <x v="41"/>
    <x v="16"/>
    <x v="267"/>
    <x v="67"/>
    <x v="108"/>
    <x v="475"/>
    <x v="107"/>
    <x v="201"/>
    <x v="2"/>
    <x v="2"/>
  </r>
  <r>
    <x v="43"/>
    <x v="0"/>
    <x v="0"/>
    <x v="3"/>
    <x v="43"/>
    <x v="43"/>
    <x v="21"/>
    <x v="21"/>
    <x v="21"/>
    <x v="21"/>
    <x v="18"/>
    <x v="268"/>
    <x v="220"/>
    <x v="55"/>
    <x v="443"/>
    <x v="41"/>
    <x v="33"/>
    <x v="2"/>
    <x v="2"/>
  </r>
  <r>
    <x v="43"/>
    <x v="0"/>
    <x v="0"/>
    <x v="3"/>
    <x v="43"/>
    <x v="43"/>
    <x v="12"/>
    <x v="12"/>
    <x v="12"/>
    <x v="12"/>
    <x v="19"/>
    <x v="165"/>
    <x v="307"/>
    <x v="96"/>
    <x v="308"/>
    <x v="101"/>
    <x v="348"/>
    <x v="2"/>
    <x v="2"/>
  </r>
  <r>
    <x v="44"/>
    <x v="0"/>
    <x v="0"/>
    <x v="3"/>
    <x v="44"/>
    <x v="44"/>
    <x v="0"/>
    <x v="0"/>
    <x v="0"/>
    <x v="0"/>
    <x v="0"/>
    <x v="231"/>
    <x v="308"/>
    <x v="99"/>
    <x v="476"/>
    <x v="55"/>
    <x v="350"/>
    <x v="2"/>
    <x v="2"/>
  </r>
  <r>
    <x v="44"/>
    <x v="0"/>
    <x v="0"/>
    <x v="3"/>
    <x v="44"/>
    <x v="44"/>
    <x v="1"/>
    <x v="1"/>
    <x v="1"/>
    <x v="1"/>
    <x v="1"/>
    <x v="238"/>
    <x v="267"/>
    <x v="100"/>
    <x v="477"/>
    <x v="109"/>
    <x v="32"/>
    <x v="2"/>
    <x v="2"/>
  </r>
  <r>
    <x v="44"/>
    <x v="0"/>
    <x v="0"/>
    <x v="3"/>
    <x v="44"/>
    <x v="44"/>
    <x v="11"/>
    <x v="11"/>
    <x v="11"/>
    <x v="11"/>
    <x v="2"/>
    <x v="69"/>
    <x v="309"/>
    <x v="133"/>
    <x v="478"/>
    <x v="115"/>
    <x v="290"/>
    <x v="2"/>
    <x v="2"/>
  </r>
  <r>
    <x v="44"/>
    <x v="0"/>
    <x v="0"/>
    <x v="3"/>
    <x v="44"/>
    <x v="44"/>
    <x v="4"/>
    <x v="4"/>
    <x v="4"/>
    <x v="4"/>
    <x v="3"/>
    <x v="81"/>
    <x v="289"/>
    <x v="144"/>
    <x v="479"/>
    <x v="44"/>
    <x v="266"/>
    <x v="2"/>
    <x v="2"/>
  </r>
  <r>
    <x v="44"/>
    <x v="0"/>
    <x v="0"/>
    <x v="3"/>
    <x v="44"/>
    <x v="44"/>
    <x v="2"/>
    <x v="2"/>
    <x v="2"/>
    <x v="2"/>
    <x v="4"/>
    <x v="54"/>
    <x v="269"/>
    <x v="192"/>
    <x v="480"/>
    <x v="113"/>
    <x v="341"/>
    <x v="2"/>
    <x v="2"/>
  </r>
  <r>
    <x v="44"/>
    <x v="0"/>
    <x v="0"/>
    <x v="3"/>
    <x v="44"/>
    <x v="44"/>
    <x v="5"/>
    <x v="5"/>
    <x v="5"/>
    <x v="5"/>
    <x v="5"/>
    <x v="109"/>
    <x v="129"/>
    <x v="97"/>
    <x v="481"/>
    <x v="106"/>
    <x v="209"/>
    <x v="2"/>
    <x v="2"/>
  </r>
  <r>
    <x v="44"/>
    <x v="0"/>
    <x v="0"/>
    <x v="3"/>
    <x v="44"/>
    <x v="44"/>
    <x v="3"/>
    <x v="3"/>
    <x v="3"/>
    <x v="3"/>
    <x v="6"/>
    <x v="110"/>
    <x v="24"/>
    <x v="147"/>
    <x v="482"/>
    <x v="61"/>
    <x v="3"/>
    <x v="2"/>
    <x v="2"/>
  </r>
  <r>
    <x v="44"/>
    <x v="0"/>
    <x v="0"/>
    <x v="3"/>
    <x v="44"/>
    <x v="44"/>
    <x v="6"/>
    <x v="6"/>
    <x v="6"/>
    <x v="6"/>
    <x v="7"/>
    <x v="74"/>
    <x v="27"/>
    <x v="221"/>
    <x v="121"/>
    <x v="71"/>
    <x v="283"/>
    <x v="2"/>
    <x v="2"/>
  </r>
  <r>
    <x v="44"/>
    <x v="0"/>
    <x v="0"/>
    <x v="3"/>
    <x v="44"/>
    <x v="44"/>
    <x v="7"/>
    <x v="7"/>
    <x v="7"/>
    <x v="7"/>
    <x v="8"/>
    <x v="59"/>
    <x v="149"/>
    <x v="29"/>
    <x v="374"/>
    <x v="71"/>
    <x v="283"/>
    <x v="2"/>
    <x v="2"/>
  </r>
  <r>
    <x v="44"/>
    <x v="0"/>
    <x v="0"/>
    <x v="3"/>
    <x v="44"/>
    <x v="44"/>
    <x v="18"/>
    <x v="18"/>
    <x v="18"/>
    <x v="18"/>
    <x v="9"/>
    <x v="86"/>
    <x v="151"/>
    <x v="126"/>
    <x v="483"/>
    <x v="60"/>
    <x v="298"/>
    <x v="2"/>
    <x v="2"/>
  </r>
  <r>
    <x v="44"/>
    <x v="0"/>
    <x v="0"/>
    <x v="3"/>
    <x v="44"/>
    <x v="44"/>
    <x v="19"/>
    <x v="19"/>
    <x v="19"/>
    <x v="19"/>
    <x v="10"/>
    <x v="122"/>
    <x v="173"/>
    <x v="80"/>
    <x v="99"/>
    <x v="116"/>
    <x v="306"/>
    <x v="2"/>
    <x v="2"/>
  </r>
  <r>
    <x v="44"/>
    <x v="0"/>
    <x v="0"/>
    <x v="3"/>
    <x v="44"/>
    <x v="44"/>
    <x v="34"/>
    <x v="34"/>
    <x v="34"/>
    <x v="34"/>
    <x v="11"/>
    <x v="123"/>
    <x v="29"/>
    <x v="138"/>
    <x v="122"/>
    <x v="113"/>
    <x v="341"/>
    <x v="2"/>
    <x v="2"/>
  </r>
  <r>
    <x v="44"/>
    <x v="0"/>
    <x v="0"/>
    <x v="3"/>
    <x v="44"/>
    <x v="44"/>
    <x v="9"/>
    <x v="9"/>
    <x v="9"/>
    <x v="9"/>
    <x v="11"/>
    <x v="123"/>
    <x v="29"/>
    <x v="57"/>
    <x v="356"/>
    <x v="49"/>
    <x v="83"/>
    <x v="2"/>
    <x v="2"/>
  </r>
  <r>
    <x v="44"/>
    <x v="0"/>
    <x v="0"/>
    <x v="3"/>
    <x v="44"/>
    <x v="44"/>
    <x v="15"/>
    <x v="15"/>
    <x v="15"/>
    <x v="15"/>
    <x v="13"/>
    <x v="124"/>
    <x v="9"/>
    <x v="57"/>
    <x v="356"/>
    <x v="60"/>
    <x v="298"/>
    <x v="2"/>
    <x v="2"/>
  </r>
  <r>
    <x v="44"/>
    <x v="0"/>
    <x v="0"/>
    <x v="3"/>
    <x v="44"/>
    <x v="44"/>
    <x v="17"/>
    <x v="17"/>
    <x v="17"/>
    <x v="17"/>
    <x v="14"/>
    <x v="129"/>
    <x v="10"/>
    <x v="47"/>
    <x v="67"/>
    <x v="60"/>
    <x v="298"/>
    <x v="2"/>
    <x v="2"/>
  </r>
  <r>
    <x v="44"/>
    <x v="0"/>
    <x v="0"/>
    <x v="3"/>
    <x v="44"/>
    <x v="44"/>
    <x v="12"/>
    <x v="12"/>
    <x v="12"/>
    <x v="12"/>
    <x v="15"/>
    <x v="130"/>
    <x v="89"/>
    <x v="149"/>
    <x v="484"/>
    <x v="41"/>
    <x v="93"/>
    <x v="2"/>
    <x v="2"/>
  </r>
  <r>
    <x v="44"/>
    <x v="0"/>
    <x v="0"/>
    <x v="3"/>
    <x v="44"/>
    <x v="44"/>
    <x v="36"/>
    <x v="36"/>
    <x v="36"/>
    <x v="36"/>
    <x v="16"/>
    <x v="131"/>
    <x v="14"/>
    <x v="55"/>
    <x v="316"/>
    <x v="82"/>
    <x v="299"/>
    <x v="2"/>
    <x v="2"/>
  </r>
  <r>
    <x v="44"/>
    <x v="0"/>
    <x v="0"/>
    <x v="3"/>
    <x v="44"/>
    <x v="44"/>
    <x v="14"/>
    <x v="14"/>
    <x v="14"/>
    <x v="14"/>
    <x v="16"/>
    <x v="131"/>
    <x v="14"/>
    <x v="78"/>
    <x v="9"/>
    <x v="115"/>
    <x v="290"/>
    <x v="2"/>
    <x v="2"/>
  </r>
  <r>
    <x v="44"/>
    <x v="0"/>
    <x v="0"/>
    <x v="3"/>
    <x v="44"/>
    <x v="44"/>
    <x v="16"/>
    <x v="16"/>
    <x v="16"/>
    <x v="16"/>
    <x v="18"/>
    <x v="132"/>
    <x v="91"/>
    <x v="78"/>
    <x v="9"/>
    <x v="117"/>
    <x v="71"/>
    <x v="2"/>
    <x v="2"/>
  </r>
  <r>
    <x v="44"/>
    <x v="0"/>
    <x v="0"/>
    <x v="3"/>
    <x v="44"/>
    <x v="44"/>
    <x v="37"/>
    <x v="37"/>
    <x v="37"/>
    <x v="37"/>
    <x v="19"/>
    <x v="138"/>
    <x v="34"/>
    <x v="130"/>
    <x v="231"/>
    <x v="113"/>
    <x v="341"/>
    <x v="2"/>
    <x v="2"/>
  </r>
  <r>
    <x v="45"/>
    <x v="0"/>
    <x v="0"/>
    <x v="3"/>
    <x v="45"/>
    <x v="45"/>
    <x v="0"/>
    <x v="0"/>
    <x v="0"/>
    <x v="0"/>
    <x v="0"/>
    <x v="96"/>
    <x v="310"/>
    <x v="233"/>
    <x v="485"/>
    <x v="41"/>
    <x v="55"/>
    <x v="2"/>
    <x v="2"/>
  </r>
  <r>
    <x v="45"/>
    <x v="0"/>
    <x v="0"/>
    <x v="3"/>
    <x v="45"/>
    <x v="45"/>
    <x v="1"/>
    <x v="1"/>
    <x v="1"/>
    <x v="1"/>
    <x v="1"/>
    <x v="213"/>
    <x v="311"/>
    <x v="46"/>
    <x v="318"/>
    <x v="108"/>
    <x v="351"/>
    <x v="2"/>
    <x v="2"/>
  </r>
  <r>
    <x v="45"/>
    <x v="0"/>
    <x v="0"/>
    <x v="3"/>
    <x v="45"/>
    <x v="45"/>
    <x v="6"/>
    <x v="6"/>
    <x v="6"/>
    <x v="6"/>
    <x v="2"/>
    <x v="56"/>
    <x v="252"/>
    <x v="167"/>
    <x v="486"/>
    <x v="45"/>
    <x v="165"/>
    <x v="2"/>
    <x v="2"/>
  </r>
  <r>
    <x v="45"/>
    <x v="0"/>
    <x v="0"/>
    <x v="3"/>
    <x v="45"/>
    <x v="45"/>
    <x v="2"/>
    <x v="2"/>
    <x v="2"/>
    <x v="2"/>
    <x v="3"/>
    <x v="121"/>
    <x v="186"/>
    <x v="76"/>
    <x v="479"/>
    <x v="71"/>
    <x v="7"/>
    <x v="2"/>
    <x v="2"/>
  </r>
  <r>
    <x v="45"/>
    <x v="0"/>
    <x v="0"/>
    <x v="3"/>
    <x v="45"/>
    <x v="45"/>
    <x v="3"/>
    <x v="3"/>
    <x v="3"/>
    <x v="3"/>
    <x v="4"/>
    <x v="73"/>
    <x v="312"/>
    <x v="29"/>
    <x v="3"/>
    <x v="81"/>
    <x v="54"/>
    <x v="2"/>
    <x v="2"/>
  </r>
  <r>
    <x v="45"/>
    <x v="0"/>
    <x v="0"/>
    <x v="3"/>
    <x v="45"/>
    <x v="45"/>
    <x v="9"/>
    <x v="9"/>
    <x v="9"/>
    <x v="9"/>
    <x v="5"/>
    <x v="74"/>
    <x v="201"/>
    <x v="54"/>
    <x v="218"/>
    <x v="62"/>
    <x v="352"/>
    <x v="1"/>
    <x v="11"/>
  </r>
  <r>
    <x v="45"/>
    <x v="0"/>
    <x v="0"/>
    <x v="3"/>
    <x v="45"/>
    <x v="45"/>
    <x v="7"/>
    <x v="7"/>
    <x v="7"/>
    <x v="7"/>
    <x v="5"/>
    <x v="74"/>
    <x v="201"/>
    <x v="137"/>
    <x v="187"/>
    <x v="131"/>
    <x v="172"/>
    <x v="2"/>
    <x v="2"/>
  </r>
  <r>
    <x v="45"/>
    <x v="0"/>
    <x v="0"/>
    <x v="3"/>
    <x v="45"/>
    <x v="45"/>
    <x v="4"/>
    <x v="4"/>
    <x v="4"/>
    <x v="4"/>
    <x v="7"/>
    <x v="85"/>
    <x v="108"/>
    <x v="166"/>
    <x v="487"/>
    <x v="111"/>
    <x v="262"/>
    <x v="2"/>
    <x v="2"/>
  </r>
  <r>
    <x v="45"/>
    <x v="0"/>
    <x v="0"/>
    <x v="3"/>
    <x v="45"/>
    <x v="45"/>
    <x v="5"/>
    <x v="5"/>
    <x v="5"/>
    <x v="5"/>
    <x v="8"/>
    <x v="128"/>
    <x v="87"/>
    <x v="68"/>
    <x v="488"/>
    <x v="100"/>
    <x v="341"/>
    <x v="2"/>
    <x v="2"/>
  </r>
  <r>
    <x v="45"/>
    <x v="0"/>
    <x v="0"/>
    <x v="3"/>
    <x v="45"/>
    <x v="45"/>
    <x v="15"/>
    <x v="15"/>
    <x v="15"/>
    <x v="15"/>
    <x v="9"/>
    <x v="88"/>
    <x v="78"/>
    <x v="51"/>
    <x v="258"/>
    <x v="115"/>
    <x v="0"/>
    <x v="2"/>
    <x v="2"/>
  </r>
  <r>
    <x v="45"/>
    <x v="0"/>
    <x v="0"/>
    <x v="3"/>
    <x v="45"/>
    <x v="45"/>
    <x v="12"/>
    <x v="12"/>
    <x v="12"/>
    <x v="12"/>
    <x v="10"/>
    <x v="130"/>
    <x v="123"/>
    <x v="122"/>
    <x v="80"/>
    <x v="77"/>
    <x v="51"/>
    <x v="2"/>
    <x v="2"/>
  </r>
  <r>
    <x v="45"/>
    <x v="0"/>
    <x v="0"/>
    <x v="3"/>
    <x v="45"/>
    <x v="45"/>
    <x v="10"/>
    <x v="10"/>
    <x v="10"/>
    <x v="10"/>
    <x v="11"/>
    <x v="131"/>
    <x v="49"/>
    <x v="130"/>
    <x v="255"/>
    <x v="111"/>
    <x v="262"/>
    <x v="2"/>
    <x v="2"/>
  </r>
  <r>
    <x v="45"/>
    <x v="0"/>
    <x v="0"/>
    <x v="3"/>
    <x v="45"/>
    <x v="45"/>
    <x v="13"/>
    <x v="13"/>
    <x v="13"/>
    <x v="13"/>
    <x v="12"/>
    <x v="138"/>
    <x v="10"/>
    <x v="47"/>
    <x v="56"/>
    <x v="42"/>
    <x v="132"/>
    <x v="2"/>
    <x v="2"/>
  </r>
  <r>
    <x v="45"/>
    <x v="0"/>
    <x v="0"/>
    <x v="3"/>
    <x v="45"/>
    <x v="45"/>
    <x v="34"/>
    <x v="34"/>
    <x v="34"/>
    <x v="34"/>
    <x v="12"/>
    <x v="138"/>
    <x v="10"/>
    <x v="72"/>
    <x v="403"/>
    <x v="68"/>
    <x v="108"/>
    <x v="2"/>
    <x v="2"/>
  </r>
  <r>
    <x v="45"/>
    <x v="0"/>
    <x v="0"/>
    <x v="3"/>
    <x v="45"/>
    <x v="45"/>
    <x v="17"/>
    <x v="17"/>
    <x v="17"/>
    <x v="17"/>
    <x v="14"/>
    <x v="161"/>
    <x v="125"/>
    <x v="54"/>
    <x v="218"/>
    <x v="110"/>
    <x v="222"/>
    <x v="2"/>
    <x v="2"/>
  </r>
  <r>
    <x v="45"/>
    <x v="0"/>
    <x v="0"/>
    <x v="3"/>
    <x v="45"/>
    <x v="45"/>
    <x v="11"/>
    <x v="11"/>
    <x v="11"/>
    <x v="11"/>
    <x v="14"/>
    <x v="161"/>
    <x v="125"/>
    <x v="56"/>
    <x v="335"/>
    <x v="77"/>
    <x v="51"/>
    <x v="2"/>
    <x v="2"/>
  </r>
  <r>
    <x v="45"/>
    <x v="0"/>
    <x v="0"/>
    <x v="3"/>
    <x v="45"/>
    <x v="45"/>
    <x v="36"/>
    <x v="36"/>
    <x v="36"/>
    <x v="36"/>
    <x v="16"/>
    <x v="134"/>
    <x v="90"/>
    <x v="126"/>
    <x v="11"/>
    <x v="108"/>
    <x v="351"/>
    <x v="2"/>
    <x v="2"/>
  </r>
  <r>
    <x v="45"/>
    <x v="0"/>
    <x v="0"/>
    <x v="3"/>
    <x v="45"/>
    <x v="45"/>
    <x v="19"/>
    <x v="19"/>
    <x v="19"/>
    <x v="19"/>
    <x v="16"/>
    <x v="134"/>
    <x v="90"/>
    <x v="67"/>
    <x v="333"/>
    <x v="61"/>
    <x v="75"/>
    <x v="2"/>
    <x v="2"/>
  </r>
  <r>
    <x v="45"/>
    <x v="0"/>
    <x v="0"/>
    <x v="3"/>
    <x v="45"/>
    <x v="45"/>
    <x v="8"/>
    <x v="8"/>
    <x v="8"/>
    <x v="8"/>
    <x v="18"/>
    <x v="162"/>
    <x v="34"/>
    <x v="117"/>
    <x v="429"/>
    <x v="113"/>
    <x v="353"/>
    <x v="2"/>
    <x v="2"/>
  </r>
  <r>
    <x v="45"/>
    <x v="0"/>
    <x v="0"/>
    <x v="3"/>
    <x v="45"/>
    <x v="45"/>
    <x v="20"/>
    <x v="20"/>
    <x v="20"/>
    <x v="20"/>
    <x v="19"/>
    <x v="164"/>
    <x v="92"/>
    <x v="47"/>
    <x v="56"/>
    <x v="112"/>
    <x v="212"/>
    <x v="2"/>
    <x v="2"/>
  </r>
  <r>
    <x v="46"/>
    <x v="0"/>
    <x v="0"/>
    <x v="3"/>
    <x v="46"/>
    <x v="46"/>
    <x v="0"/>
    <x v="0"/>
    <x v="0"/>
    <x v="0"/>
    <x v="0"/>
    <x v="62"/>
    <x v="313"/>
    <x v="234"/>
    <x v="489"/>
    <x v="111"/>
    <x v="102"/>
    <x v="2"/>
    <x v="2"/>
  </r>
  <r>
    <x v="46"/>
    <x v="0"/>
    <x v="0"/>
    <x v="3"/>
    <x v="46"/>
    <x v="46"/>
    <x v="1"/>
    <x v="1"/>
    <x v="1"/>
    <x v="1"/>
    <x v="1"/>
    <x v="112"/>
    <x v="156"/>
    <x v="77"/>
    <x v="490"/>
    <x v="71"/>
    <x v="126"/>
    <x v="2"/>
    <x v="2"/>
  </r>
  <r>
    <x v="46"/>
    <x v="0"/>
    <x v="0"/>
    <x v="3"/>
    <x v="46"/>
    <x v="46"/>
    <x v="34"/>
    <x v="34"/>
    <x v="34"/>
    <x v="34"/>
    <x v="2"/>
    <x v="130"/>
    <x v="222"/>
    <x v="124"/>
    <x v="199"/>
    <x v="126"/>
    <x v="146"/>
    <x v="2"/>
    <x v="2"/>
  </r>
  <r>
    <x v="46"/>
    <x v="0"/>
    <x v="0"/>
    <x v="3"/>
    <x v="46"/>
    <x v="46"/>
    <x v="16"/>
    <x v="16"/>
    <x v="16"/>
    <x v="16"/>
    <x v="3"/>
    <x v="131"/>
    <x v="244"/>
    <x v="47"/>
    <x v="196"/>
    <x v="117"/>
    <x v="354"/>
    <x v="2"/>
    <x v="2"/>
  </r>
  <r>
    <x v="46"/>
    <x v="0"/>
    <x v="0"/>
    <x v="3"/>
    <x v="46"/>
    <x v="46"/>
    <x v="6"/>
    <x v="6"/>
    <x v="6"/>
    <x v="6"/>
    <x v="3"/>
    <x v="131"/>
    <x v="244"/>
    <x v="152"/>
    <x v="491"/>
    <x v="130"/>
    <x v="207"/>
    <x v="2"/>
    <x v="2"/>
  </r>
  <r>
    <x v="46"/>
    <x v="0"/>
    <x v="0"/>
    <x v="3"/>
    <x v="46"/>
    <x v="46"/>
    <x v="36"/>
    <x v="36"/>
    <x v="36"/>
    <x v="36"/>
    <x v="5"/>
    <x v="267"/>
    <x v="159"/>
    <x v="67"/>
    <x v="492"/>
    <x v="77"/>
    <x v="20"/>
    <x v="2"/>
    <x v="2"/>
  </r>
  <r>
    <x v="46"/>
    <x v="0"/>
    <x v="0"/>
    <x v="3"/>
    <x v="46"/>
    <x v="46"/>
    <x v="15"/>
    <x v="15"/>
    <x v="15"/>
    <x v="15"/>
    <x v="5"/>
    <x v="267"/>
    <x v="159"/>
    <x v="59"/>
    <x v="452"/>
    <x v="41"/>
    <x v="355"/>
    <x v="2"/>
    <x v="2"/>
  </r>
  <r>
    <x v="46"/>
    <x v="0"/>
    <x v="0"/>
    <x v="3"/>
    <x v="46"/>
    <x v="46"/>
    <x v="11"/>
    <x v="11"/>
    <x v="11"/>
    <x v="11"/>
    <x v="7"/>
    <x v="268"/>
    <x v="42"/>
    <x v="146"/>
    <x v="189"/>
    <x v="71"/>
    <x v="126"/>
    <x v="2"/>
    <x v="2"/>
  </r>
  <r>
    <x v="46"/>
    <x v="0"/>
    <x v="0"/>
    <x v="3"/>
    <x v="46"/>
    <x v="46"/>
    <x v="2"/>
    <x v="2"/>
    <x v="2"/>
    <x v="2"/>
    <x v="7"/>
    <x v="268"/>
    <x v="42"/>
    <x v="122"/>
    <x v="493"/>
    <x v="130"/>
    <x v="207"/>
    <x v="2"/>
    <x v="2"/>
  </r>
  <r>
    <x v="46"/>
    <x v="0"/>
    <x v="0"/>
    <x v="3"/>
    <x v="46"/>
    <x v="46"/>
    <x v="4"/>
    <x v="4"/>
    <x v="4"/>
    <x v="4"/>
    <x v="9"/>
    <x v="166"/>
    <x v="273"/>
    <x v="69"/>
    <x v="142"/>
    <x v="68"/>
    <x v="228"/>
    <x v="2"/>
    <x v="2"/>
  </r>
  <r>
    <x v="46"/>
    <x v="0"/>
    <x v="0"/>
    <x v="3"/>
    <x v="46"/>
    <x v="46"/>
    <x v="13"/>
    <x v="13"/>
    <x v="13"/>
    <x v="13"/>
    <x v="10"/>
    <x v="269"/>
    <x v="173"/>
    <x v="78"/>
    <x v="129"/>
    <x v="44"/>
    <x v="356"/>
    <x v="2"/>
    <x v="2"/>
  </r>
  <r>
    <x v="46"/>
    <x v="0"/>
    <x v="0"/>
    <x v="3"/>
    <x v="46"/>
    <x v="46"/>
    <x v="8"/>
    <x v="8"/>
    <x v="8"/>
    <x v="8"/>
    <x v="10"/>
    <x v="269"/>
    <x v="173"/>
    <x v="67"/>
    <x v="492"/>
    <x v="68"/>
    <x v="228"/>
    <x v="2"/>
    <x v="2"/>
  </r>
  <r>
    <x v="46"/>
    <x v="0"/>
    <x v="0"/>
    <x v="3"/>
    <x v="46"/>
    <x v="46"/>
    <x v="27"/>
    <x v="27"/>
    <x v="27"/>
    <x v="27"/>
    <x v="12"/>
    <x v="270"/>
    <x v="115"/>
    <x v="55"/>
    <x v="95"/>
    <x v="107"/>
    <x v="289"/>
    <x v="2"/>
    <x v="2"/>
  </r>
  <r>
    <x v="46"/>
    <x v="0"/>
    <x v="0"/>
    <x v="3"/>
    <x v="46"/>
    <x v="46"/>
    <x v="3"/>
    <x v="3"/>
    <x v="3"/>
    <x v="3"/>
    <x v="12"/>
    <x v="270"/>
    <x v="115"/>
    <x v="80"/>
    <x v="494"/>
    <x v="126"/>
    <x v="146"/>
    <x v="2"/>
    <x v="2"/>
  </r>
  <r>
    <x v="46"/>
    <x v="0"/>
    <x v="0"/>
    <x v="3"/>
    <x v="46"/>
    <x v="46"/>
    <x v="17"/>
    <x v="17"/>
    <x v="17"/>
    <x v="17"/>
    <x v="14"/>
    <x v="171"/>
    <x v="9"/>
    <x v="54"/>
    <x v="368"/>
    <x v="107"/>
    <x v="289"/>
    <x v="2"/>
    <x v="2"/>
  </r>
  <r>
    <x v="46"/>
    <x v="0"/>
    <x v="0"/>
    <x v="3"/>
    <x v="46"/>
    <x v="46"/>
    <x v="23"/>
    <x v="23"/>
    <x v="23"/>
    <x v="23"/>
    <x v="14"/>
    <x v="171"/>
    <x v="9"/>
    <x v="78"/>
    <x v="129"/>
    <x v="77"/>
    <x v="20"/>
    <x v="2"/>
    <x v="2"/>
  </r>
  <r>
    <x v="46"/>
    <x v="0"/>
    <x v="0"/>
    <x v="3"/>
    <x v="46"/>
    <x v="46"/>
    <x v="5"/>
    <x v="5"/>
    <x v="5"/>
    <x v="5"/>
    <x v="14"/>
    <x v="171"/>
    <x v="9"/>
    <x v="67"/>
    <x v="492"/>
    <x v="71"/>
    <x v="126"/>
    <x v="2"/>
    <x v="2"/>
  </r>
  <r>
    <x v="46"/>
    <x v="0"/>
    <x v="0"/>
    <x v="3"/>
    <x v="46"/>
    <x v="46"/>
    <x v="7"/>
    <x v="7"/>
    <x v="7"/>
    <x v="7"/>
    <x v="17"/>
    <x v="271"/>
    <x v="65"/>
    <x v="80"/>
    <x v="494"/>
    <x v="130"/>
    <x v="207"/>
    <x v="2"/>
    <x v="2"/>
  </r>
  <r>
    <x v="46"/>
    <x v="0"/>
    <x v="0"/>
    <x v="3"/>
    <x v="46"/>
    <x v="46"/>
    <x v="19"/>
    <x v="19"/>
    <x v="19"/>
    <x v="19"/>
    <x v="18"/>
    <x v="277"/>
    <x v="50"/>
    <x v="54"/>
    <x v="368"/>
    <x v="100"/>
    <x v="91"/>
    <x v="2"/>
    <x v="2"/>
  </r>
  <r>
    <x v="46"/>
    <x v="0"/>
    <x v="0"/>
    <x v="3"/>
    <x v="46"/>
    <x v="46"/>
    <x v="10"/>
    <x v="10"/>
    <x v="10"/>
    <x v="10"/>
    <x v="19"/>
    <x v="278"/>
    <x v="18"/>
    <x v="54"/>
    <x v="368"/>
    <x v="81"/>
    <x v="75"/>
    <x v="2"/>
    <x v="2"/>
  </r>
  <r>
    <x v="47"/>
    <x v="0"/>
    <x v="0"/>
    <x v="3"/>
    <x v="47"/>
    <x v="47"/>
    <x v="0"/>
    <x v="0"/>
    <x v="0"/>
    <x v="0"/>
    <x v="0"/>
    <x v="226"/>
    <x v="314"/>
    <x v="170"/>
    <x v="495"/>
    <x v="107"/>
    <x v="340"/>
    <x v="2"/>
    <x v="2"/>
  </r>
  <r>
    <x v="47"/>
    <x v="0"/>
    <x v="0"/>
    <x v="3"/>
    <x v="47"/>
    <x v="47"/>
    <x v="11"/>
    <x v="11"/>
    <x v="11"/>
    <x v="11"/>
    <x v="1"/>
    <x v="50"/>
    <x v="315"/>
    <x v="65"/>
    <x v="400"/>
    <x v="60"/>
    <x v="34"/>
    <x v="2"/>
    <x v="2"/>
  </r>
  <r>
    <x v="47"/>
    <x v="0"/>
    <x v="0"/>
    <x v="3"/>
    <x v="47"/>
    <x v="47"/>
    <x v="1"/>
    <x v="1"/>
    <x v="1"/>
    <x v="1"/>
    <x v="2"/>
    <x v="54"/>
    <x v="210"/>
    <x v="103"/>
    <x v="496"/>
    <x v="45"/>
    <x v="199"/>
    <x v="2"/>
    <x v="2"/>
  </r>
  <r>
    <x v="47"/>
    <x v="0"/>
    <x v="0"/>
    <x v="3"/>
    <x v="47"/>
    <x v="47"/>
    <x v="38"/>
    <x v="38"/>
    <x v="38"/>
    <x v="38"/>
    <x v="3"/>
    <x v="73"/>
    <x v="290"/>
    <x v="84"/>
    <x v="497"/>
    <x v="104"/>
    <x v="357"/>
    <x v="2"/>
    <x v="2"/>
  </r>
  <r>
    <x v="47"/>
    <x v="0"/>
    <x v="0"/>
    <x v="3"/>
    <x v="47"/>
    <x v="47"/>
    <x v="34"/>
    <x v="34"/>
    <x v="34"/>
    <x v="34"/>
    <x v="4"/>
    <x v="58"/>
    <x v="316"/>
    <x v="77"/>
    <x v="498"/>
    <x v="100"/>
    <x v="191"/>
    <x v="2"/>
    <x v="2"/>
  </r>
  <r>
    <x v="47"/>
    <x v="0"/>
    <x v="0"/>
    <x v="3"/>
    <x v="47"/>
    <x v="47"/>
    <x v="13"/>
    <x v="13"/>
    <x v="13"/>
    <x v="13"/>
    <x v="5"/>
    <x v="128"/>
    <x v="187"/>
    <x v="47"/>
    <x v="36"/>
    <x v="46"/>
    <x v="358"/>
    <x v="2"/>
    <x v="2"/>
  </r>
  <r>
    <x v="47"/>
    <x v="0"/>
    <x v="0"/>
    <x v="3"/>
    <x v="47"/>
    <x v="47"/>
    <x v="6"/>
    <x v="6"/>
    <x v="6"/>
    <x v="6"/>
    <x v="6"/>
    <x v="124"/>
    <x v="150"/>
    <x v="123"/>
    <x v="499"/>
    <x v="71"/>
    <x v="127"/>
    <x v="2"/>
    <x v="2"/>
  </r>
  <r>
    <x v="47"/>
    <x v="0"/>
    <x v="0"/>
    <x v="3"/>
    <x v="47"/>
    <x v="47"/>
    <x v="41"/>
    <x v="41"/>
    <x v="41"/>
    <x v="41"/>
    <x v="7"/>
    <x v="125"/>
    <x v="79"/>
    <x v="117"/>
    <x v="492"/>
    <x v="41"/>
    <x v="50"/>
    <x v="2"/>
    <x v="2"/>
  </r>
  <r>
    <x v="47"/>
    <x v="0"/>
    <x v="0"/>
    <x v="3"/>
    <x v="47"/>
    <x v="47"/>
    <x v="16"/>
    <x v="16"/>
    <x v="16"/>
    <x v="16"/>
    <x v="8"/>
    <x v="138"/>
    <x v="88"/>
    <x v="53"/>
    <x v="268"/>
    <x v="117"/>
    <x v="359"/>
    <x v="2"/>
    <x v="2"/>
  </r>
  <r>
    <x v="47"/>
    <x v="0"/>
    <x v="0"/>
    <x v="3"/>
    <x v="47"/>
    <x v="47"/>
    <x v="4"/>
    <x v="4"/>
    <x v="4"/>
    <x v="4"/>
    <x v="8"/>
    <x v="138"/>
    <x v="88"/>
    <x v="125"/>
    <x v="500"/>
    <x v="126"/>
    <x v="248"/>
    <x v="2"/>
    <x v="2"/>
  </r>
  <r>
    <x v="47"/>
    <x v="0"/>
    <x v="0"/>
    <x v="3"/>
    <x v="47"/>
    <x v="47"/>
    <x v="39"/>
    <x v="39"/>
    <x v="39"/>
    <x v="39"/>
    <x v="10"/>
    <x v="163"/>
    <x v="49"/>
    <x v="54"/>
    <x v="61"/>
    <x v="48"/>
    <x v="29"/>
    <x v="2"/>
    <x v="2"/>
  </r>
  <r>
    <x v="47"/>
    <x v="0"/>
    <x v="0"/>
    <x v="3"/>
    <x v="47"/>
    <x v="47"/>
    <x v="51"/>
    <x v="51"/>
    <x v="51"/>
    <x v="51"/>
    <x v="10"/>
    <x v="163"/>
    <x v="49"/>
    <x v="47"/>
    <x v="36"/>
    <x v="82"/>
    <x v="114"/>
    <x v="2"/>
    <x v="2"/>
  </r>
  <r>
    <x v="47"/>
    <x v="0"/>
    <x v="0"/>
    <x v="3"/>
    <x v="47"/>
    <x v="47"/>
    <x v="36"/>
    <x v="36"/>
    <x v="36"/>
    <x v="36"/>
    <x v="12"/>
    <x v="133"/>
    <x v="9"/>
    <x v="126"/>
    <x v="72"/>
    <x v="109"/>
    <x v="91"/>
    <x v="2"/>
    <x v="2"/>
  </r>
  <r>
    <x v="47"/>
    <x v="0"/>
    <x v="0"/>
    <x v="3"/>
    <x v="47"/>
    <x v="47"/>
    <x v="15"/>
    <x v="15"/>
    <x v="15"/>
    <x v="15"/>
    <x v="12"/>
    <x v="133"/>
    <x v="9"/>
    <x v="55"/>
    <x v="171"/>
    <x v="110"/>
    <x v="105"/>
    <x v="2"/>
    <x v="2"/>
  </r>
  <r>
    <x v="47"/>
    <x v="0"/>
    <x v="0"/>
    <x v="3"/>
    <x v="47"/>
    <x v="47"/>
    <x v="52"/>
    <x v="52"/>
    <x v="52"/>
    <x v="52"/>
    <x v="14"/>
    <x v="162"/>
    <x v="166"/>
    <x v="55"/>
    <x v="171"/>
    <x v="105"/>
    <x v="47"/>
    <x v="2"/>
    <x v="2"/>
  </r>
  <r>
    <x v="47"/>
    <x v="0"/>
    <x v="0"/>
    <x v="3"/>
    <x v="47"/>
    <x v="47"/>
    <x v="20"/>
    <x v="20"/>
    <x v="20"/>
    <x v="20"/>
    <x v="15"/>
    <x v="164"/>
    <x v="14"/>
    <x v="59"/>
    <x v="501"/>
    <x v="109"/>
    <x v="91"/>
    <x v="2"/>
    <x v="2"/>
  </r>
  <r>
    <x v="47"/>
    <x v="0"/>
    <x v="0"/>
    <x v="3"/>
    <x v="47"/>
    <x v="47"/>
    <x v="3"/>
    <x v="3"/>
    <x v="3"/>
    <x v="3"/>
    <x v="15"/>
    <x v="164"/>
    <x v="14"/>
    <x v="149"/>
    <x v="422"/>
    <x v="100"/>
    <x v="191"/>
    <x v="2"/>
    <x v="2"/>
  </r>
  <r>
    <x v="47"/>
    <x v="0"/>
    <x v="0"/>
    <x v="3"/>
    <x v="47"/>
    <x v="47"/>
    <x v="2"/>
    <x v="2"/>
    <x v="2"/>
    <x v="2"/>
    <x v="15"/>
    <x v="164"/>
    <x v="14"/>
    <x v="225"/>
    <x v="393"/>
    <x v="45"/>
    <x v="199"/>
    <x v="2"/>
    <x v="2"/>
  </r>
  <r>
    <x v="47"/>
    <x v="0"/>
    <x v="0"/>
    <x v="3"/>
    <x v="47"/>
    <x v="47"/>
    <x v="5"/>
    <x v="5"/>
    <x v="5"/>
    <x v="5"/>
    <x v="18"/>
    <x v="268"/>
    <x v="35"/>
    <x v="149"/>
    <x v="422"/>
    <x v="68"/>
    <x v="38"/>
    <x v="2"/>
    <x v="2"/>
  </r>
  <r>
    <x v="47"/>
    <x v="0"/>
    <x v="0"/>
    <x v="3"/>
    <x v="47"/>
    <x v="47"/>
    <x v="17"/>
    <x v="17"/>
    <x v="17"/>
    <x v="17"/>
    <x v="19"/>
    <x v="167"/>
    <x v="144"/>
    <x v="47"/>
    <x v="36"/>
    <x v="41"/>
    <x v="50"/>
    <x v="2"/>
    <x v="2"/>
  </r>
  <r>
    <x v="47"/>
    <x v="0"/>
    <x v="0"/>
    <x v="3"/>
    <x v="47"/>
    <x v="47"/>
    <x v="23"/>
    <x v="23"/>
    <x v="23"/>
    <x v="23"/>
    <x v="19"/>
    <x v="167"/>
    <x v="144"/>
    <x v="59"/>
    <x v="501"/>
    <x v="101"/>
    <x v="40"/>
    <x v="2"/>
    <x v="2"/>
  </r>
  <r>
    <x v="47"/>
    <x v="0"/>
    <x v="0"/>
    <x v="3"/>
    <x v="47"/>
    <x v="47"/>
    <x v="9"/>
    <x v="9"/>
    <x v="9"/>
    <x v="9"/>
    <x v="19"/>
    <x v="167"/>
    <x v="144"/>
    <x v="55"/>
    <x v="171"/>
    <x v="44"/>
    <x v="32"/>
    <x v="2"/>
    <x v="2"/>
  </r>
  <r>
    <x v="48"/>
    <x v="0"/>
    <x v="0"/>
    <x v="4"/>
    <x v="48"/>
    <x v="48"/>
    <x v="3"/>
    <x v="3"/>
    <x v="3"/>
    <x v="3"/>
    <x v="0"/>
    <x v="125"/>
    <x v="317"/>
    <x v="130"/>
    <x v="502"/>
    <x v="77"/>
    <x v="360"/>
    <x v="2"/>
    <x v="2"/>
  </r>
  <r>
    <x v="48"/>
    <x v="0"/>
    <x v="0"/>
    <x v="4"/>
    <x v="48"/>
    <x v="48"/>
    <x v="1"/>
    <x v="1"/>
    <x v="1"/>
    <x v="1"/>
    <x v="1"/>
    <x v="267"/>
    <x v="238"/>
    <x v="146"/>
    <x v="503"/>
    <x v="45"/>
    <x v="282"/>
    <x v="2"/>
    <x v="2"/>
  </r>
  <r>
    <x v="48"/>
    <x v="0"/>
    <x v="0"/>
    <x v="4"/>
    <x v="48"/>
    <x v="48"/>
    <x v="8"/>
    <x v="8"/>
    <x v="8"/>
    <x v="8"/>
    <x v="2"/>
    <x v="169"/>
    <x v="278"/>
    <x v="80"/>
    <x v="504"/>
    <x v="68"/>
    <x v="124"/>
    <x v="2"/>
    <x v="2"/>
  </r>
  <r>
    <x v="48"/>
    <x v="0"/>
    <x v="0"/>
    <x v="4"/>
    <x v="48"/>
    <x v="48"/>
    <x v="0"/>
    <x v="0"/>
    <x v="0"/>
    <x v="0"/>
    <x v="2"/>
    <x v="169"/>
    <x v="278"/>
    <x v="53"/>
    <x v="344"/>
    <x v="41"/>
    <x v="361"/>
    <x v="2"/>
    <x v="2"/>
  </r>
  <r>
    <x v="48"/>
    <x v="0"/>
    <x v="0"/>
    <x v="4"/>
    <x v="48"/>
    <x v="48"/>
    <x v="36"/>
    <x v="36"/>
    <x v="36"/>
    <x v="36"/>
    <x v="4"/>
    <x v="270"/>
    <x v="240"/>
    <x v="47"/>
    <x v="358"/>
    <x v="77"/>
    <x v="360"/>
    <x v="2"/>
    <x v="2"/>
  </r>
  <r>
    <x v="48"/>
    <x v="0"/>
    <x v="0"/>
    <x v="4"/>
    <x v="48"/>
    <x v="48"/>
    <x v="17"/>
    <x v="17"/>
    <x v="17"/>
    <x v="17"/>
    <x v="5"/>
    <x v="171"/>
    <x v="130"/>
    <x v="47"/>
    <x v="358"/>
    <x v="63"/>
    <x v="206"/>
    <x v="2"/>
    <x v="2"/>
  </r>
  <r>
    <x v="48"/>
    <x v="0"/>
    <x v="0"/>
    <x v="4"/>
    <x v="48"/>
    <x v="48"/>
    <x v="19"/>
    <x v="19"/>
    <x v="19"/>
    <x v="19"/>
    <x v="6"/>
    <x v="271"/>
    <x v="60"/>
    <x v="78"/>
    <x v="35"/>
    <x v="63"/>
    <x v="206"/>
    <x v="2"/>
    <x v="2"/>
  </r>
  <r>
    <x v="48"/>
    <x v="0"/>
    <x v="0"/>
    <x v="4"/>
    <x v="48"/>
    <x v="48"/>
    <x v="16"/>
    <x v="16"/>
    <x v="16"/>
    <x v="16"/>
    <x v="7"/>
    <x v="279"/>
    <x v="140"/>
    <x v="111"/>
    <x v="337"/>
    <x v="77"/>
    <x v="360"/>
    <x v="2"/>
    <x v="2"/>
  </r>
  <r>
    <x v="48"/>
    <x v="0"/>
    <x v="0"/>
    <x v="4"/>
    <x v="48"/>
    <x v="48"/>
    <x v="14"/>
    <x v="14"/>
    <x v="14"/>
    <x v="14"/>
    <x v="7"/>
    <x v="279"/>
    <x v="140"/>
    <x v="53"/>
    <x v="344"/>
    <x v="63"/>
    <x v="206"/>
    <x v="2"/>
    <x v="2"/>
  </r>
  <r>
    <x v="48"/>
    <x v="0"/>
    <x v="0"/>
    <x v="4"/>
    <x v="48"/>
    <x v="48"/>
    <x v="21"/>
    <x v="21"/>
    <x v="21"/>
    <x v="21"/>
    <x v="7"/>
    <x v="279"/>
    <x v="140"/>
    <x v="84"/>
    <x v="173"/>
    <x v="68"/>
    <x v="124"/>
    <x v="2"/>
    <x v="2"/>
  </r>
  <r>
    <x v="48"/>
    <x v="0"/>
    <x v="0"/>
    <x v="4"/>
    <x v="48"/>
    <x v="48"/>
    <x v="9"/>
    <x v="9"/>
    <x v="9"/>
    <x v="9"/>
    <x v="10"/>
    <x v="277"/>
    <x v="63"/>
    <x v="85"/>
    <x v="87"/>
    <x v="77"/>
    <x v="360"/>
    <x v="2"/>
    <x v="2"/>
  </r>
  <r>
    <x v="48"/>
    <x v="0"/>
    <x v="0"/>
    <x v="4"/>
    <x v="48"/>
    <x v="48"/>
    <x v="5"/>
    <x v="5"/>
    <x v="5"/>
    <x v="5"/>
    <x v="10"/>
    <x v="277"/>
    <x v="63"/>
    <x v="59"/>
    <x v="505"/>
    <x v="68"/>
    <x v="124"/>
    <x v="2"/>
    <x v="2"/>
  </r>
  <r>
    <x v="48"/>
    <x v="0"/>
    <x v="0"/>
    <x v="4"/>
    <x v="48"/>
    <x v="48"/>
    <x v="27"/>
    <x v="27"/>
    <x v="27"/>
    <x v="27"/>
    <x v="12"/>
    <x v="278"/>
    <x v="172"/>
    <x v="96"/>
    <x v="488"/>
    <x v="126"/>
    <x v="335"/>
    <x v="2"/>
    <x v="2"/>
  </r>
  <r>
    <x v="48"/>
    <x v="0"/>
    <x v="0"/>
    <x v="4"/>
    <x v="48"/>
    <x v="48"/>
    <x v="6"/>
    <x v="6"/>
    <x v="6"/>
    <x v="6"/>
    <x v="13"/>
    <x v="280"/>
    <x v="190"/>
    <x v="51"/>
    <x v="46"/>
    <x v="130"/>
    <x v="207"/>
    <x v="2"/>
    <x v="2"/>
  </r>
  <r>
    <x v="48"/>
    <x v="0"/>
    <x v="0"/>
    <x v="4"/>
    <x v="48"/>
    <x v="48"/>
    <x v="18"/>
    <x v="18"/>
    <x v="18"/>
    <x v="18"/>
    <x v="14"/>
    <x v="281"/>
    <x v="11"/>
    <x v="55"/>
    <x v="436"/>
    <x v="71"/>
    <x v="138"/>
    <x v="2"/>
    <x v="2"/>
  </r>
  <r>
    <x v="48"/>
    <x v="0"/>
    <x v="0"/>
    <x v="4"/>
    <x v="48"/>
    <x v="48"/>
    <x v="45"/>
    <x v="45"/>
    <x v="45"/>
    <x v="45"/>
    <x v="14"/>
    <x v="281"/>
    <x v="11"/>
    <x v="55"/>
    <x v="436"/>
    <x v="71"/>
    <x v="138"/>
    <x v="2"/>
    <x v="2"/>
  </r>
  <r>
    <x v="48"/>
    <x v="0"/>
    <x v="0"/>
    <x v="4"/>
    <x v="48"/>
    <x v="48"/>
    <x v="49"/>
    <x v="49"/>
    <x v="49"/>
    <x v="49"/>
    <x v="14"/>
    <x v="281"/>
    <x v="11"/>
    <x v="78"/>
    <x v="35"/>
    <x v="100"/>
    <x v="11"/>
    <x v="2"/>
    <x v="2"/>
  </r>
  <r>
    <x v="48"/>
    <x v="0"/>
    <x v="0"/>
    <x v="4"/>
    <x v="48"/>
    <x v="48"/>
    <x v="23"/>
    <x v="23"/>
    <x v="23"/>
    <x v="23"/>
    <x v="17"/>
    <x v="282"/>
    <x v="102"/>
    <x v="55"/>
    <x v="436"/>
    <x v="126"/>
    <x v="335"/>
    <x v="2"/>
    <x v="2"/>
  </r>
  <r>
    <x v="48"/>
    <x v="0"/>
    <x v="0"/>
    <x v="4"/>
    <x v="48"/>
    <x v="48"/>
    <x v="53"/>
    <x v="53"/>
    <x v="53"/>
    <x v="53"/>
    <x v="17"/>
    <x v="282"/>
    <x v="102"/>
    <x v="55"/>
    <x v="436"/>
    <x v="126"/>
    <x v="335"/>
    <x v="2"/>
    <x v="2"/>
  </r>
  <r>
    <x v="48"/>
    <x v="0"/>
    <x v="0"/>
    <x v="4"/>
    <x v="48"/>
    <x v="48"/>
    <x v="54"/>
    <x v="54"/>
    <x v="54"/>
    <x v="54"/>
    <x v="19"/>
    <x v="283"/>
    <x v="36"/>
    <x v="55"/>
    <x v="436"/>
    <x v="131"/>
    <x v="362"/>
    <x v="2"/>
    <x v="2"/>
  </r>
  <r>
    <x v="48"/>
    <x v="0"/>
    <x v="0"/>
    <x v="4"/>
    <x v="48"/>
    <x v="48"/>
    <x v="13"/>
    <x v="13"/>
    <x v="13"/>
    <x v="13"/>
    <x v="19"/>
    <x v="283"/>
    <x v="36"/>
    <x v="85"/>
    <x v="87"/>
    <x v="106"/>
    <x v="109"/>
    <x v="2"/>
    <x v="2"/>
  </r>
  <r>
    <x v="48"/>
    <x v="0"/>
    <x v="0"/>
    <x v="4"/>
    <x v="48"/>
    <x v="48"/>
    <x v="10"/>
    <x v="10"/>
    <x v="10"/>
    <x v="10"/>
    <x v="19"/>
    <x v="283"/>
    <x v="36"/>
    <x v="78"/>
    <x v="35"/>
    <x v="68"/>
    <x v="124"/>
    <x v="2"/>
    <x v="2"/>
  </r>
  <r>
    <x v="48"/>
    <x v="0"/>
    <x v="0"/>
    <x v="4"/>
    <x v="48"/>
    <x v="48"/>
    <x v="44"/>
    <x v="44"/>
    <x v="44"/>
    <x v="44"/>
    <x v="19"/>
    <x v="283"/>
    <x v="36"/>
    <x v="111"/>
    <x v="337"/>
    <x v="100"/>
    <x v="11"/>
    <x v="2"/>
    <x v="2"/>
  </r>
  <r>
    <x v="48"/>
    <x v="0"/>
    <x v="0"/>
    <x v="4"/>
    <x v="48"/>
    <x v="48"/>
    <x v="4"/>
    <x v="4"/>
    <x v="4"/>
    <x v="4"/>
    <x v="19"/>
    <x v="283"/>
    <x v="36"/>
    <x v="57"/>
    <x v="274"/>
    <x v="71"/>
    <x v="138"/>
    <x v="2"/>
    <x v="2"/>
  </r>
  <r>
    <x v="49"/>
    <x v="0"/>
    <x v="0"/>
    <x v="4"/>
    <x v="49"/>
    <x v="49"/>
    <x v="0"/>
    <x v="0"/>
    <x v="0"/>
    <x v="0"/>
    <x v="0"/>
    <x v="103"/>
    <x v="318"/>
    <x v="48"/>
    <x v="506"/>
    <x v="108"/>
    <x v="66"/>
    <x v="2"/>
    <x v="2"/>
  </r>
  <r>
    <x v="49"/>
    <x v="0"/>
    <x v="0"/>
    <x v="4"/>
    <x v="49"/>
    <x v="49"/>
    <x v="1"/>
    <x v="1"/>
    <x v="1"/>
    <x v="1"/>
    <x v="1"/>
    <x v="123"/>
    <x v="95"/>
    <x v="124"/>
    <x v="507"/>
    <x v="81"/>
    <x v="273"/>
    <x v="2"/>
    <x v="2"/>
  </r>
  <r>
    <x v="49"/>
    <x v="0"/>
    <x v="0"/>
    <x v="4"/>
    <x v="49"/>
    <x v="49"/>
    <x v="4"/>
    <x v="4"/>
    <x v="4"/>
    <x v="4"/>
    <x v="2"/>
    <x v="130"/>
    <x v="234"/>
    <x v="120"/>
    <x v="289"/>
    <x v="81"/>
    <x v="273"/>
    <x v="2"/>
    <x v="2"/>
  </r>
  <r>
    <x v="49"/>
    <x v="0"/>
    <x v="0"/>
    <x v="4"/>
    <x v="49"/>
    <x v="49"/>
    <x v="19"/>
    <x v="19"/>
    <x v="19"/>
    <x v="19"/>
    <x v="3"/>
    <x v="133"/>
    <x v="158"/>
    <x v="58"/>
    <x v="168"/>
    <x v="108"/>
    <x v="66"/>
    <x v="2"/>
    <x v="2"/>
  </r>
  <r>
    <x v="49"/>
    <x v="0"/>
    <x v="0"/>
    <x v="4"/>
    <x v="49"/>
    <x v="49"/>
    <x v="11"/>
    <x v="11"/>
    <x v="11"/>
    <x v="11"/>
    <x v="3"/>
    <x v="133"/>
    <x v="158"/>
    <x v="108"/>
    <x v="508"/>
    <x v="44"/>
    <x v="234"/>
    <x v="2"/>
    <x v="2"/>
  </r>
  <r>
    <x v="49"/>
    <x v="0"/>
    <x v="0"/>
    <x v="4"/>
    <x v="49"/>
    <x v="49"/>
    <x v="6"/>
    <x v="6"/>
    <x v="6"/>
    <x v="6"/>
    <x v="3"/>
    <x v="133"/>
    <x v="158"/>
    <x v="125"/>
    <x v="509"/>
    <x v="130"/>
    <x v="207"/>
    <x v="2"/>
    <x v="2"/>
  </r>
  <r>
    <x v="49"/>
    <x v="0"/>
    <x v="0"/>
    <x v="4"/>
    <x v="49"/>
    <x v="49"/>
    <x v="5"/>
    <x v="5"/>
    <x v="5"/>
    <x v="5"/>
    <x v="6"/>
    <x v="162"/>
    <x v="319"/>
    <x v="79"/>
    <x v="510"/>
    <x v="126"/>
    <x v="252"/>
    <x v="2"/>
    <x v="2"/>
  </r>
  <r>
    <x v="49"/>
    <x v="0"/>
    <x v="0"/>
    <x v="4"/>
    <x v="49"/>
    <x v="49"/>
    <x v="36"/>
    <x v="36"/>
    <x v="36"/>
    <x v="36"/>
    <x v="7"/>
    <x v="267"/>
    <x v="162"/>
    <x v="84"/>
    <x v="474"/>
    <x v="108"/>
    <x v="66"/>
    <x v="2"/>
    <x v="2"/>
  </r>
  <r>
    <x v="49"/>
    <x v="0"/>
    <x v="0"/>
    <x v="4"/>
    <x v="49"/>
    <x v="49"/>
    <x v="2"/>
    <x v="2"/>
    <x v="2"/>
    <x v="2"/>
    <x v="7"/>
    <x v="267"/>
    <x v="162"/>
    <x v="79"/>
    <x v="510"/>
    <x v="130"/>
    <x v="207"/>
    <x v="2"/>
    <x v="2"/>
  </r>
  <r>
    <x v="49"/>
    <x v="0"/>
    <x v="0"/>
    <x v="4"/>
    <x v="49"/>
    <x v="49"/>
    <x v="3"/>
    <x v="3"/>
    <x v="3"/>
    <x v="3"/>
    <x v="9"/>
    <x v="165"/>
    <x v="77"/>
    <x v="149"/>
    <x v="511"/>
    <x v="45"/>
    <x v="363"/>
    <x v="2"/>
    <x v="2"/>
  </r>
  <r>
    <x v="49"/>
    <x v="0"/>
    <x v="0"/>
    <x v="4"/>
    <x v="49"/>
    <x v="49"/>
    <x v="41"/>
    <x v="41"/>
    <x v="41"/>
    <x v="41"/>
    <x v="10"/>
    <x v="166"/>
    <x v="202"/>
    <x v="80"/>
    <x v="403"/>
    <x v="106"/>
    <x v="245"/>
    <x v="2"/>
    <x v="2"/>
  </r>
  <r>
    <x v="49"/>
    <x v="0"/>
    <x v="0"/>
    <x v="4"/>
    <x v="49"/>
    <x v="49"/>
    <x v="17"/>
    <x v="17"/>
    <x v="17"/>
    <x v="17"/>
    <x v="11"/>
    <x v="168"/>
    <x v="173"/>
    <x v="47"/>
    <x v="215"/>
    <x v="108"/>
    <x v="66"/>
    <x v="2"/>
    <x v="2"/>
  </r>
  <r>
    <x v="49"/>
    <x v="0"/>
    <x v="0"/>
    <x v="4"/>
    <x v="49"/>
    <x v="49"/>
    <x v="8"/>
    <x v="8"/>
    <x v="8"/>
    <x v="8"/>
    <x v="11"/>
    <x v="168"/>
    <x v="173"/>
    <x v="126"/>
    <x v="231"/>
    <x v="113"/>
    <x v="75"/>
    <x v="2"/>
    <x v="2"/>
  </r>
  <r>
    <x v="49"/>
    <x v="0"/>
    <x v="0"/>
    <x v="4"/>
    <x v="49"/>
    <x v="49"/>
    <x v="55"/>
    <x v="55"/>
    <x v="55"/>
    <x v="55"/>
    <x v="13"/>
    <x v="169"/>
    <x v="154"/>
    <x v="78"/>
    <x v="15"/>
    <x v="108"/>
    <x v="66"/>
    <x v="2"/>
    <x v="2"/>
  </r>
  <r>
    <x v="49"/>
    <x v="0"/>
    <x v="0"/>
    <x v="4"/>
    <x v="49"/>
    <x v="49"/>
    <x v="7"/>
    <x v="7"/>
    <x v="7"/>
    <x v="7"/>
    <x v="13"/>
    <x v="169"/>
    <x v="154"/>
    <x v="149"/>
    <x v="511"/>
    <x v="130"/>
    <x v="207"/>
    <x v="2"/>
    <x v="2"/>
  </r>
  <r>
    <x v="49"/>
    <x v="0"/>
    <x v="0"/>
    <x v="4"/>
    <x v="49"/>
    <x v="49"/>
    <x v="16"/>
    <x v="16"/>
    <x v="16"/>
    <x v="16"/>
    <x v="15"/>
    <x v="170"/>
    <x v="206"/>
    <x v="111"/>
    <x v="84"/>
    <x v="41"/>
    <x v="364"/>
    <x v="2"/>
    <x v="2"/>
  </r>
  <r>
    <x v="49"/>
    <x v="0"/>
    <x v="0"/>
    <x v="4"/>
    <x v="49"/>
    <x v="49"/>
    <x v="15"/>
    <x v="15"/>
    <x v="15"/>
    <x v="15"/>
    <x v="16"/>
    <x v="269"/>
    <x v="283"/>
    <x v="47"/>
    <x v="215"/>
    <x v="101"/>
    <x v="344"/>
    <x v="2"/>
    <x v="2"/>
  </r>
  <r>
    <x v="49"/>
    <x v="0"/>
    <x v="0"/>
    <x v="4"/>
    <x v="49"/>
    <x v="49"/>
    <x v="10"/>
    <x v="10"/>
    <x v="10"/>
    <x v="10"/>
    <x v="17"/>
    <x v="270"/>
    <x v="32"/>
    <x v="58"/>
    <x v="168"/>
    <x v="71"/>
    <x v="146"/>
    <x v="2"/>
    <x v="2"/>
  </r>
  <r>
    <x v="49"/>
    <x v="0"/>
    <x v="0"/>
    <x v="4"/>
    <x v="49"/>
    <x v="49"/>
    <x v="9"/>
    <x v="9"/>
    <x v="9"/>
    <x v="9"/>
    <x v="17"/>
    <x v="270"/>
    <x v="32"/>
    <x v="85"/>
    <x v="87"/>
    <x v="108"/>
    <x v="66"/>
    <x v="2"/>
    <x v="2"/>
  </r>
  <r>
    <x v="49"/>
    <x v="0"/>
    <x v="0"/>
    <x v="4"/>
    <x v="49"/>
    <x v="49"/>
    <x v="20"/>
    <x v="20"/>
    <x v="20"/>
    <x v="20"/>
    <x v="19"/>
    <x v="271"/>
    <x v="16"/>
    <x v="85"/>
    <x v="87"/>
    <x v="44"/>
    <x v="234"/>
    <x v="2"/>
    <x v="2"/>
  </r>
  <r>
    <x v="49"/>
    <x v="0"/>
    <x v="0"/>
    <x v="4"/>
    <x v="49"/>
    <x v="49"/>
    <x v="23"/>
    <x v="23"/>
    <x v="23"/>
    <x v="23"/>
    <x v="19"/>
    <x v="271"/>
    <x v="16"/>
    <x v="47"/>
    <x v="215"/>
    <x v="111"/>
    <x v="241"/>
    <x v="2"/>
    <x v="2"/>
  </r>
  <r>
    <x v="49"/>
    <x v="0"/>
    <x v="0"/>
    <x v="4"/>
    <x v="49"/>
    <x v="49"/>
    <x v="52"/>
    <x v="52"/>
    <x v="52"/>
    <x v="52"/>
    <x v="19"/>
    <x v="271"/>
    <x v="16"/>
    <x v="54"/>
    <x v="483"/>
    <x v="113"/>
    <x v="75"/>
    <x v="2"/>
    <x v="2"/>
  </r>
  <r>
    <x v="50"/>
    <x v="0"/>
    <x v="0"/>
    <x v="4"/>
    <x v="50"/>
    <x v="50"/>
    <x v="0"/>
    <x v="0"/>
    <x v="0"/>
    <x v="0"/>
    <x v="0"/>
    <x v="108"/>
    <x v="320"/>
    <x v="185"/>
    <x v="512"/>
    <x v="106"/>
    <x v="211"/>
    <x v="2"/>
    <x v="2"/>
  </r>
  <r>
    <x v="50"/>
    <x v="0"/>
    <x v="0"/>
    <x v="4"/>
    <x v="50"/>
    <x v="50"/>
    <x v="34"/>
    <x v="34"/>
    <x v="34"/>
    <x v="34"/>
    <x v="1"/>
    <x v="149"/>
    <x v="321"/>
    <x v="31"/>
    <x v="513"/>
    <x v="126"/>
    <x v="100"/>
    <x v="2"/>
    <x v="2"/>
  </r>
  <r>
    <x v="50"/>
    <x v="0"/>
    <x v="0"/>
    <x v="4"/>
    <x v="50"/>
    <x v="50"/>
    <x v="4"/>
    <x v="4"/>
    <x v="4"/>
    <x v="4"/>
    <x v="2"/>
    <x v="160"/>
    <x v="118"/>
    <x v="125"/>
    <x v="514"/>
    <x v="45"/>
    <x v="348"/>
    <x v="1"/>
    <x v="11"/>
  </r>
  <r>
    <x v="50"/>
    <x v="0"/>
    <x v="0"/>
    <x v="4"/>
    <x v="50"/>
    <x v="50"/>
    <x v="1"/>
    <x v="1"/>
    <x v="1"/>
    <x v="1"/>
    <x v="3"/>
    <x v="164"/>
    <x v="239"/>
    <x v="149"/>
    <x v="262"/>
    <x v="100"/>
    <x v="29"/>
    <x v="2"/>
    <x v="2"/>
  </r>
  <r>
    <x v="50"/>
    <x v="0"/>
    <x v="0"/>
    <x v="4"/>
    <x v="50"/>
    <x v="50"/>
    <x v="3"/>
    <x v="3"/>
    <x v="3"/>
    <x v="3"/>
    <x v="4"/>
    <x v="166"/>
    <x v="40"/>
    <x v="117"/>
    <x v="515"/>
    <x v="45"/>
    <x v="348"/>
    <x v="2"/>
    <x v="2"/>
  </r>
  <r>
    <x v="50"/>
    <x v="0"/>
    <x v="0"/>
    <x v="4"/>
    <x v="50"/>
    <x v="50"/>
    <x v="6"/>
    <x v="6"/>
    <x v="6"/>
    <x v="6"/>
    <x v="5"/>
    <x v="270"/>
    <x v="45"/>
    <x v="58"/>
    <x v="263"/>
    <x v="71"/>
    <x v="365"/>
    <x v="2"/>
    <x v="2"/>
  </r>
  <r>
    <x v="50"/>
    <x v="0"/>
    <x v="0"/>
    <x v="4"/>
    <x v="50"/>
    <x v="50"/>
    <x v="16"/>
    <x v="16"/>
    <x v="16"/>
    <x v="16"/>
    <x v="6"/>
    <x v="171"/>
    <x v="322"/>
    <x v="47"/>
    <x v="53"/>
    <x v="63"/>
    <x v="366"/>
    <x v="2"/>
    <x v="2"/>
  </r>
  <r>
    <x v="50"/>
    <x v="0"/>
    <x v="0"/>
    <x v="4"/>
    <x v="50"/>
    <x v="50"/>
    <x v="5"/>
    <x v="5"/>
    <x v="5"/>
    <x v="5"/>
    <x v="6"/>
    <x v="171"/>
    <x v="322"/>
    <x v="108"/>
    <x v="348"/>
    <x v="130"/>
    <x v="207"/>
    <x v="2"/>
    <x v="2"/>
  </r>
  <r>
    <x v="50"/>
    <x v="0"/>
    <x v="0"/>
    <x v="4"/>
    <x v="50"/>
    <x v="50"/>
    <x v="11"/>
    <x v="11"/>
    <x v="11"/>
    <x v="11"/>
    <x v="8"/>
    <x v="279"/>
    <x v="114"/>
    <x v="55"/>
    <x v="102"/>
    <x v="100"/>
    <x v="29"/>
    <x v="2"/>
    <x v="2"/>
  </r>
  <r>
    <x v="50"/>
    <x v="0"/>
    <x v="0"/>
    <x v="4"/>
    <x v="50"/>
    <x v="50"/>
    <x v="10"/>
    <x v="10"/>
    <x v="10"/>
    <x v="10"/>
    <x v="9"/>
    <x v="277"/>
    <x v="9"/>
    <x v="126"/>
    <x v="516"/>
    <x v="131"/>
    <x v="252"/>
    <x v="2"/>
    <x v="2"/>
  </r>
  <r>
    <x v="50"/>
    <x v="0"/>
    <x v="0"/>
    <x v="4"/>
    <x v="50"/>
    <x v="50"/>
    <x v="8"/>
    <x v="8"/>
    <x v="8"/>
    <x v="8"/>
    <x v="9"/>
    <x v="277"/>
    <x v="9"/>
    <x v="59"/>
    <x v="517"/>
    <x v="68"/>
    <x v="313"/>
    <x v="2"/>
    <x v="2"/>
  </r>
  <r>
    <x v="50"/>
    <x v="0"/>
    <x v="0"/>
    <x v="4"/>
    <x v="50"/>
    <x v="50"/>
    <x v="17"/>
    <x v="17"/>
    <x v="17"/>
    <x v="17"/>
    <x v="11"/>
    <x v="280"/>
    <x v="91"/>
    <x v="78"/>
    <x v="237"/>
    <x v="106"/>
    <x v="211"/>
    <x v="2"/>
    <x v="2"/>
  </r>
  <r>
    <x v="50"/>
    <x v="0"/>
    <x v="0"/>
    <x v="4"/>
    <x v="50"/>
    <x v="50"/>
    <x v="22"/>
    <x v="22"/>
    <x v="22"/>
    <x v="22"/>
    <x v="12"/>
    <x v="281"/>
    <x v="36"/>
    <x v="78"/>
    <x v="237"/>
    <x v="100"/>
    <x v="29"/>
    <x v="2"/>
    <x v="2"/>
  </r>
  <r>
    <x v="50"/>
    <x v="0"/>
    <x v="0"/>
    <x v="4"/>
    <x v="50"/>
    <x v="50"/>
    <x v="9"/>
    <x v="9"/>
    <x v="9"/>
    <x v="9"/>
    <x v="12"/>
    <x v="281"/>
    <x v="36"/>
    <x v="85"/>
    <x v="87"/>
    <x v="107"/>
    <x v="360"/>
    <x v="2"/>
    <x v="2"/>
  </r>
  <r>
    <x v="50"/>
    <x v="0"/>
    <x v="0"/>
    <x v="4"/>
    <x v="50"/>
    <x v="50"/>
    <x v="31"/>
    <x v="31"/>
    <x v="31"/>
    <x v="31"/>
    <x v="12"/>
    <x v="281"/>
    <x v="36"/>
    <x v="96"/>
    <x v="217"/>
    <x v="130"/>
    <x v="207"/>
    <x v="2"/>
    <x v="2"/>
  </r>
  <r>
    <x v="50"/>
    <x v="0"/>
    <x v="0"/>
    <x v="4"/>
    <x v="50"/>
    <x v="50"/>
    <x v="24"/>
    <x v="24"/>
    <x v="24"/>
    <x v="24"/>
    <x v="12"/>
    <x v="281"/>
    <x v="36"/>
    <x v="96"/>
    <x v="217"/>
    <x v="130"/>
    <x v="207"/>
    <x v="2"/>
    <x v="2"/>
  </r>
  <r>
    <x v="50"/>
    <x v="0"/>
    <x v="0"/>
    <x v="4"/>
    <x v="50"/>
    <x v="50"/>
    <x v="36"/>
    <x v="36"/>
    <x v="36"/>
    <x v="36"/>
    <x v="16"/>
    <x v="282"/>
    <x v="53"/>
    <x v="78"/>
    <x v="237"/>
    <x v="81"/>
    <x v="255"/>
    <x v="2"/>
    <x v="2"/>
  </r>
  <r>
    <x v="50"/>
    <x v="0"/>
    <x v="0"/>
    <x v="4"/>
    <x v="50"/>
    <x v="50"/>
    <x v="13"/>
    <x v="13"/>
    <x v="13"/>
    <x v="13"/>
    <x v="16"/>
    <x v="282"/>
    <x v="53"/>
    <x v="85"/>
    <x v="87"/>
    <x v="113"/>
    <x v="325"/>
    <x v="2"/>
    <x v="2"/>
  </r>
  <r>
    <x v="50"/>
    <x v="0"/>
    <x v="0"/>
    <x v="4"/>
    <x v="50"/>
    <x v="50"/>
    <x v="19"/>
    <x v="19"/>
    <x v="19"/>
    <x v="19"/>
    <x v="16"/>
    <x v="282"/>
    <x v="53"/>
    <x v="47"/>
    <x v="53"/>
    <x v="68"/>
    <x v="313"/>
    <x v="2"/>
    <x v="2"/>
  </r>
  <r>
    <x v="50"/>
    <x v="0"/>
    <x v="0"/>
    <x v="4"/>
    <x v="50"/>
    <x v="50"/>
    <x v="14"/>
    <x v="14"/>
    <x v="14"/>
    <x v="14"/>
    <x v="16"/>
    <x v="282"/>
    <x v="53"/>
    <x v="53"/>
    <x v="70"/>
    <x v="100"/>
    <x v="29"/>
    <x v="2"/>
    <x v="2"/>
  </r>
  <r>
    <x v="51"/>
    <x v="0"/>
    <x v="0"/>
    <x v="4"/>
    <x v="51"/>
    <x v="51"/>
    <x v="0"/>
    <x v="0"/>
    <x v="0"/>
    <x v="0"/>
    <x v="0"/>
    <x v="82"/>
    <x v="323"/>
    <x v="31"/>
    <x v="518"/>
    <x v="81"/>
    <x v="336"/>
    <x v="2"/>
    <x v="2"/>
  </r>
  <r>
    <x v="51"/>
    <x v="0"/>
    <x v="0"/>
    <x v="4"/>
    <x v="51"/>
    <x v="51"/>
    <x v="1"/>
    <x v="1"/>
    <x v="1"/>
    <x v="1"/>
    <x v="1"/>
    <x v="161"/>
    <x v="324"/>
    <x v="130"/>
    <x v="401"/>
    <x v="81"/>
    <x v="336"/>
    <x v="2"/>
    <x v="2"/>
  </r>
  <r>
    <x v="51"/>
    <x v="0"/>
    <x v="0"/>
    <x v="4"/>
    <x v="51"/>
    <x v="51"/>
    <x v="4"/>
    <x v="4"/>
    <x v="4"/>
    <x v="4"/>
    <x v="2"/>
    <x v="267"/>
    <x v="325"/>
    <x v="225"/>
    <x v="244"/>
    <x v="71"/>
    <x v="43"/>
    <x v="2"/>
    <x v="2"/>
  </r>
  <r>
    <x v="51"/>
    <x v="0"/>
    <x v="0"/>
    <x v="4"/>
    <x v="51"/>
    <x v="51"/>
    <x v="34"/>
    <x v="34"/>
    <x v="34"/>
    <x v="34"/>
    <x v="3"/>
    <x v="268"/>
    <x v="326"/>
    <x v="122"/>
    <x v="519"/>
    <x v="130"/>
    <x v="207"/>
    <x v="2"/>
    <x v="2"/>
  </r>
  <r>
    <x v="51"/>
    <x v="0"/>
    <x v="0"/>
    <x v="4"/>
    <x v="51"/>
    <x v="51"/>
    <x v="8"/>
    <x v="8"/>
    <x v="8"/>
    <x v="8"/>
    <x v="4"/>
    <x v="170"/>
    <x v="252"/>
    <x v="96"/>
    <x v="520"/>
    <x v="113"/>
    <x v="367"/>
    <x v="2"/>
    <x v="2"/>
  </r>
  <r>
    <x v="51"/>
    <x v="0"/>
    <x v="0"/>
    <x v="4"/>
    <x v="51"/>
    <x v="51"/>
    <x v="11"/>
    <x v="11"/>
    <x v="11"/>
    <x v="11"/>
    <x v="5"/>
    <x v="269"/>
    <x v="105"/>
    <x v="55"/>
    <x v="521"/>
    <x v="111"/>
    <x v="368"/>
    <x v="2"/>
    <x v="2"/>
  </r>
  <r>
    <x v="51"/>
    <x v="0"/>
    <x v="0"/>
    <x v="4"/>
    <x v="51"/>
    <x v="51"/>
    <x v="7"/>
    <x v="7"/>
    <x v="7"/>
    <x v="7"/>
    <x v="5"/>
    <x v="269"/>
    <x v="105"/>
    <x v="69"/>
    <x v="522"/>
    <x v="130"/>
    <x v="207"/>
    <x v="2"/>
    <x v="2"/>
  </r>
  <r>
    <x v="51"/>
    <x v="0"/>
    <x v="0"/>
    <x v="4"/>
    <x v="51"/>
    <x v="51"/>
    <x v="6"/>
    <x v="6"/>
    <x v="6"/>
    <x v="6"/>
    <x v="5"/>
    <x v="269"/>
    <x v="105"/>
    <x v="108"/>
    <x v="493"/>
    <x v="126"/>
    <x v="126"/>
    <x v="2"/>
    <x v="2"/>
  </r>
  <r>
    <x v="51"/>
    <x v="0"/>
    <x v="0"/>
    <x v="4"/>
    <x v="51"/>
    <x v="51"/>
    <x v="5"/>
    <x v="5"/>
    <x v="5"/>
    <x v="5"/>
    <x v="5"/>
    <x v="269"/>
    <x v="105"/>
    <x v="56"/>
    <x v="202"/>
    <x v="131"/>
    <x v="244"/>
    <x v="2"/>
    <x v="2"/>
  </r>
  <r>
    <x v="51"/>
    <x v="0"/>
    <x v="0"/>
    <x v="4"/>
    <x v="51"/>
    <x v="51"/>
    <x v="27"/>
    <x v="27"/>
    <x v="27"/>
    <x v="27"/>
    <x v="9"/>
    <x v="271"/>
    <x v="60"/>
    <x v="96"/>
    <x v="520"/>
    <x v="68"/>
    <x v="310"/>
    <x v="2"/>
    <x v="2"/>
  </r>
  <r>
    <x v="51"/>
    <x v="0"/>
    <x v="0"/>
    <x v="4"/>
    <x v="51"/>
    <x v="51"/>
    <x v="3"/>
    <x v="3"/>
    <x v="3"/>
    <x v="3"/>
    <x v="10"/>
    <x v="277"/>
    <x v="63"/>
    <x v="96"/>
    <x v="520"/>
    <x v="71"/>
    <x v="43"/>
    <x v="2"/>
    <x v="2"/>
  </r>
  <r>
    <x v="51"/>
    <x v="0"/>
    <x v="0"/>
    <x v="4"/>
    <x v="51"/>
    <x v="51"/>
    <x v="36"/>
    <x v="36"/>
    <x v="36"/>
    <x v="36"/>
    <x v="11"/>
    <x v="278"/>
    <x v="172"/>
    <x v="57"/>
    <x v="99"/>
    <x v="100"/>
    <x v="44"/>
    <x v="2"/>
    <x v="2"/>
  </r>
  <r>
    <x v="51"/>
    <x v="0"/>
    <x v="0"/>
    <x v="4"/>
    <x v="51"/>
    <x v="51"/>
    <x v="12"/>
    <x v="12"/>
    <x v="12"/>
    <x v="12"/>
    <x v="11"/>
    <x v="278"/>
    <x v="172"/>
    <x v="59"/>
    <x v="366"/>
    <x v="45"/>
    <x v="195"/>
    <x v="2"/>
    <x v="2"/>
  </r>
  <r>
    <x v="51"/>
    <x v="0"/>
    <x v="0"/>
    <x v="4"/>
    <x v="51"/>
    <x v="51"/>
    <x v="37"/>
    <x v="37"/>
    <x v="37"/>
    <x v="37"/>
    <x v="13"/>
    <x v="280"/>
    <x v="115"/>
    <x v="59"/>
    <x v="366"/>
    <x v="71"/>
    <x v="43"/>
    <x v="2"/>
    <x v="2"/>
  </r>
  <r>
    <x v="51"/>
    <x v="0"/>
    <x v="0"/>
    <x v="4"/>
    <x v="51"/>
    <x v="51"/>
    <x v="18"/>
    <x v="18"/>
    <x v="18"/>
    <x v="18"/>
    <x v="14"/>
    <x v="281"/>
    <x v="11"/>
    <x v="59"/>
    <x v="366"/>
    <x v="126"/>
    <x v="126"/>
    <x v="2"/>
    <x v="2"/>
  </r>
  <r>
    <x v="51"/>
    <x v="0"/>
    <x v="0"/>
    <x v="4"/>
    <x v="51"/>
    <x v="51"/>
    <x v="22"/>
    <x v="22"/>
    <x v="22"/>
    <x v="22"/>
    <x v="14"/>
    <x v="281"/>
    <x v="11"/>
    <x v="47"/>
    <x v="483"/>
    <x v="81"/>
    <x v="336"/>
    <x v="2"/>
    <x v="2"/>
  </r>
  <r>
    <x v="51"/>
    <x v="0"/>
    <x v="0"/>
    <x v="4"/>
    <x v="51"/>
    <x v="51"/>
    <x v="10"/>
    <x v="10"/>
    <x v="10"/>
    <x v="10"/>
    <x v="16"/>
    <x v="283"/>
    <x v="36"/>
    <x v="57"/>
    <x v="99"/>
    <x v="71"/>
    <x v="43"/>
    <x v="2"/>
    <x v="2"/>
  </r>
  <r>
    <x v="51"/>
    <x v="0"/>
    <x v="0"/>
    <x v="4"/>
    <x v="51"/>
    <x v="51"/>
    <x v="2"/>
    <x v="2"/>
    <x v="2"/>
    <x v="2"/>
    <x v="16"/>
    <x v="283"/>
    <x v="36"/>
    <x v="54"/>
    <x v="517"/>
    <x v="126"/>
    <x v="126"/>
    <x v="2"/>
    <x v="2"/>
  </r>
  <r>
    <x v="51"/>
    <x v="0"/>
    <x v="0"/>
    <x v="4"/>
    <x v="51"/>
    <x v="51"/>
    <x v="56"/>
    <x v="56"/>
    <x v="56"/>
    <x v="56"/>
    <x v="18"/>
    <x v="284"/>
    <x v="307"/>
    <x v="55"/>
    <x v="521"/>
    <x v="130"/>
    <x v="207"/>
    <x v="2"/>
    <x v="2"/>
  </r>
  <r>
    <x v="51"/>
    <x v="0"/>
    <x v="0"/>
    <x v="4"/>
    <x v="51"/>
    <x v="51"/>
    <x v="57"/>
    <x v="57"/>
    <x v="57"/>
    <x v="57"/>
    <x v="18"/>
    <x v="284"/>
    <x v="307"/>
    <x v="54"/>
    <x v="517"/>
    <x v="131"/>
    <x v="244"/>
    <x v="2"/>
    <x v="2"/>
  </r>
  <r>
    <x v="51"/>
    <x v="0"/>
    <x v="0"/>
    <x v="4"/>
    <x v="51"/>
    <x v="51"/>
    <x v="19"/>
    <x v="19"/>
    <x v="19"/>
    <x v="19"/>
    <x v="18"/>
    <x v="284"/>
    <x v="307"/>
    <x v="78"/>
    <x v="53"/>
    <x v="45"/>
    <x v="195"/>
    <x v="2"/>
    <x v="2"/>
  </r>
  <r>
    <x v="51"/>
    <x v="0"/>
    <x v="0"/>
    <x v="4"/>
    <x v="51"/>
    <x v="51"/>
    <x v="58"/>
    <x v="58"/>
    <x v="58"/>
    <x v="58"/>
    <x v="18"/>
    <x v="284"/>
    <x v="307"/>
    <x v="78"/>
    <x v="53"/>
    <x v="45"/>
    <x v="195"/>
    <x v="2"/>
    <x v="2"/>
  </r>
  <r>
    <x v="51"/>
    <x v="0"/>
    <x v="0"/>
    <x v="4"/>
    <x v="51"/>
    <x v="51"/>
    <x v="24"/>
    <x v="24"/>
    <x v="24"/>
    <x v="24"/>
    <x v="18"/>
    <x v="284"/>
    <x v="307"/>
    <x v="55"/>
    <x v="521"/>
    <x v="130"/>
    <x v="207"/>
    <x v="2"/>
    <x v="2"/>
  </r>
  <r>
    <x v="52"/>
    <x v="0"/>
    <x v="0"/>
    <x v="4"/>
    <x v="52"/>
    <x v="52"/>
    <x v="36"/>
    <x v="36"/>
    <x v="36"/>
    <x v="36"/>
    <x v="0"/>
    <x v="281"/>
    <x v="327"/>
    <x v="54"/>
    <x v="523"/>
    <x v="45"/>
    <x v="104"/>
    <x v="2"/>
    <x v="14"/>
  </r>
  <r>
    <x v="52"/>
    <x v="0"/>
    <x v="0"/>
    <x v="4"/>
    <x v="52"/>
    <x v="52"/>
    <x v="19"/>
    <x v="19"/>
    <x v="19"/>
    <x v="19"/>
    <x v="0"/>
    <x v="281"/>
    <x v="327"/>
    <x v="78"/>
    <x v="300"/>
    <x v="100"/>
    <x v="369"/>
    <x v="2"/>
    <x v="14"/>
  </r>
  <r>
    <x v="52"/>
    <x v="0"/>
    <x v="0"/>
    <x v="4"/>
    <x v="52"/>
    <x v="52"/>
    <x v="1"/>
    <x v="1"/>
    <x v="1"/>
    <x v="1"/>
    <x v="0"/>
    <x v="281"/>
    <x v="327"/>
    <x v="96"/>
    <x v="524"/>
    <x v="130"/>
    <x v="207"/>
    <x v="2"/>
    <x v="14"/>
  </r>
  <r>
    <x v="52"/>
    <x v="0"/>
    <x v="0"/>
    <x v="4"/>
    <x v="52"/>
    <x v="52"/>
    <x v="16"/>
    <x v="16"/>
    <x v="16"/>
    <x v="16"/>
    <x v="3"/>
    <x v="282"/>
    <x v="328"/>
    <x v="85"/>
    <x v="87"/>
    <x v="113"/>
    <x v="370"/>
    <x v="2"/>
    <x v="14"/>
  </r>
  <r>
    <x v="52"/>
    <x v="0"/>
    <x v="0"/>
    <x v="4"/>
    <x v="52"/>
    <x v="52"/>
    <x v="17"/>
    <x v="17"/>
    <x v="17"/>
    <x v="17"/>
    <x v="3"/>
    <x v="282"/>
    <x v="328"/>
    <x v="85"/>
    <x v="87"/>
    <x v="113"/>
    <x v="370"/>
    <x v="2"/>
    <x v="14"/>
  </r>
  <r>
    <x v="52"/>
    <x v="0"/>
    <x v="0"/>
    <x v="4"/>
    <x v="52"/>
    <x v="52"/>
    <x v="0"/>
    <x v="0"/>
    <x v="0"/>
    <x v="0"/>
    <x v="3"/>
    <x v="282"/>
    <x v="328"/>
    <x v="54"/>
    <x v="523"/>
    <x v="71"/>
    <x v="61"/>
    <x v="2"/>
    <x v="14"/>
  </r>
  <r>
    <x v="52"/>
    <x v="0"/>
    <x v="0"/>
    <x v="4"/>
    <x v="52"/>
    <x v="52"/>
    <x v="23"/>
    <x v="23"/>
    <x v="23"/>
    <x v="23"/>
    <x v="6"/>
    <x v="283"/>
    <x v="84"/>
    <x v="53"/>
    <x v="170"/>
    <x v="81"/>
    <x v="371"/>
    <x v="2"/>
    <x v="14"/>
  </r>
  <r>
    <x v="52"/>
    <x v="0"/>
    <x v="0"/>
    <x v="4"/>
    <x v="52"/>
    <x v="52"/>
    <x v="41"/>
    <x v="41"/>
    <x v="41"/>
    <x v="41"/>
    <x v="7"/>
    <x v="284"/>
    <x v="240"/>
    <x v="53"/>
    <x v="170"/>
    <x v="68"/>
    <x v="208"/>
    <x v="2"/>
    <x v="14"/>
  </r>
  <r>
    <x v="52"/>
    <x v="0"/>
    <x v="0"/>
    <x v="4"/>
    <x v="52"/>
    <x v="52"/>
    <x v="54"/>
    <x v="54"/>
    <x v="54"/>
    <x v="54"/>
    <x v="8"/>
    <x v="285"/>
    <x v="25"/>
    <x v="78"/>
    <x v="300"/>
    <x v="71"/>
    <x v="61"/>
    <x v="2"/>
    <x v="14"/>
  </r>
  <r>
    <x v="52"/>
    <x v="0"/>
    <x v="0"/>
    <x v="4"/>
    <x v="52"/>
    <x v="52"/>
    <x v="15"/>
    <x v="15"/>
    <x v="15"/>
    <x v="15"/>
    <x v="8"/>
    <x v="285"/>
    <x v="25"/>
    <x v="53"/>
    <x v="170"/>
    <x v="45"/>
    <x v="104"/>
    <x v="2"/>
    <x v="14"/>
  </r>
  <r>
    <x v="52"/>
    <x v="0"/>
    <x v="0"/>
    <x v="4"/>
    <x v="52"/>
    <x v="52"/>
    <x v="38"/>
    <x v="38"/>
    <x v="38"/>
    <x v="38"/>
    <x v="8"/>
    <x v="285"/>
    <x v="25"/>
    <x v="111"/>
    <x v="525"/>
    <x v="68"/>
    <x v="208"/>
    <x v="2"/>
    <x v="14"/>
  </r>
  <r>
    <x v="52"/>
    <x v="0"/>
    <x v="0"/>
    <x v="4"/>
    <x v="52"/>
    <x v="52"/>
    <x v="10"/>
    <x v="10"/>
    <x v="10"/>
    <x v="10"/>
    <x v="8"/>
    <x v="285"/>
    <x v="25"/>
    <x v="57"/>
    <x v="405"/>
    <x v="131"/>
    <x v="209"/>
    <x v="2"/>
    <x v="14"/>
  </r>
  <r>
    <x v="52"/>
    <x v="0"/>
    <x v="0"/>
    <x v="4"/>
    <x v="52"/>
    <x v="52"/>
    <x v="11"/>
    <x v="11"/>
    <x v="11"/>
    <x v="11"/>
    <x v="8"/>
    <x v="285"/>
    <x v="25"/>
    <x v="78"/>
    <x v="300"/>
    <x v="71"/>
    <x v="61"/>
    <x v="2"/>
    <x v="14"/>
  </r>
  <r>
    <x v="52"/>
    <x v="0"/>
    <x v="0"/>
    <x v="4"/>
    <x v="52"/>
    <x v="52"/>
    <x v="6"/>
    <x v="6"/>
    <x v="6"/>
    <x v="6"/>
    <x v="8"/>
    <x v="285"/>
    <x v="25"/>
    <x v="54"/>
    <x v="523"/>
    <x v="130"/>
    <x v="207"/>
    <x v="2"/>
    <x v="14"/>
  </r>
  <r>
    <x v="52"/>
    <x v="0"/>
    <x v="0"/>
    <x v="4"/>
    <x v="52"/>
    <x v="52"/>
    <x v="39"/>
    <x v="39"/>
    <x v="39"/>
    <x v="39"/>
    <x v="14"/>
    <x v="286"/>
    <x v="134"/>
    <x v="111"/>
    <x v="525"/>
    <x v="45"/>
    <x v="104"/>
    <x v="2"/>
    <x v="14"/>
  </r>
  <r>
    <x v="52"/>
    <x v="0"/>
    <x v="0"/>
    <x v="4"/>
    <x v="52"/>
    <x v="52"/>
    <x v="55"/>
    <x v="55"/>
    <x v="55"/>
    <x v="55"/>
    <x v="14"/>
    <x v="286"/>
    <x v="134"/>
    <x v="111"/>
    <x v="525"/>
    <x v="45"/>
    <x v="104"/>
    <x v="2"/>
    <x v="14"/>
  </r>
  <r>
    <x v="52"/>
    <x v="0"/>
    <x v="0"/>
    <x v="4"/>
    <x v="52"/>
    <x v="52"/>
    <x v="58"/>
    <x v="58"/>
    <x v="58"/>
    <x v="58"/>
    <x v="14"/>
    <x v="286"/>
    <x v="134"/>
    <x v="111"/>
    <x v="525"/>
    <x v="45"/>
    <x v="104"/>
    <x v="2"/>
    <x v="14"/>
  </r>
  <r>
    <x v="52"/>
    <x v="0"/>
    <x v="0"/>
    <x v="4"/>
    <x v="52"/>
    <x v="52"/>
    <x v="34"/>
    <x v="34"/>
    <x v="34"/>
    <x v="34"/>
    <x v="14"/>
    <x v="286"/>
    <x v="134"/>
    <x v="47"/>
    <x v="526"/>
    <x v="131"/>
    <x v="209"/>
    <x v="2"/>
    <x v="14"/>
  </r>
  <r>
    <x v="52"/>
    <x v="0"/>
    <x v="0"/>
    <x v="4"/>
    <x v="52"/>
    <x v="52"/>
    <x v="40"/>
    <x v="40"/>
    <x v="40"/>
    <x v="40"/>
    <x v="18"/>
    <x v="287"/>
    <x v="182"/>
    <x v="85"/>
    <x v="87"/>
    <x v="45"/>
    <x v="104"/>
    <x v="2"/>
    <x v="14"/>
  </r>
  <r>
    <x v="52"/>
    <x v="0"/>
    <x v="0"/>
    <x v="4"/>
    <x v="52"/>
    <x v="52"/>
    <x v="13"/>
    <x v="13"/>
    <x v="13"/>
    <x v="13"/>
    <x v="18"/>
    <x v="287"/>
    <x v="182"/>
    <x v="53"/>
    <x v="170"/>
    <x v="126"/>
    <x v="141"/>
    <x v="2"/>
    <x v="14"/>
  </r>
  <r>
    <x v="52"/>
    <x v="0"/>
    <x v="0"/>
    <x v="4"/>
    <x v="52"/>
    <x v="52"/>
    <x v="59"/>
    <x v="59"/>
    <x v="59"/>
    <x v="59"/>
    <x v="18"/>
    <x v="287"/>
    <x v="182"/>
    <x v="53"/>
    <x v="170"/>
    <x v="126"/>
    <x v="141"/>
    <x v="2"/>
    <x v="14"/>
  </r>
  <r>
    <x v="52"/>
    <x v="0"/>
    <x v="0"/>
    <x v="4"/>
    <x v="52"/>
    <x v="52"/>
    <x v="8"/>
    <x v="8"/>
    <x v="8"/>
    <x v="8"/>
    <x v="18"/>
    <x v="287"/>
    <x v="182"/>
    <x v="78"/>
    <x v="300"/>
    <x v="131"/>
    <x v="209"/>
    <x v="2"/>
    <x v="14"/>
  </r>
  <r>
    <x v="53"/>
    <x v="0"/>
    <x v="0"/>
    <x v="4"/>
    <x v="53"/>
    <x v="53"/>
    <x v="0"/>
    <x v="0"/>
    <x v="0"/>
    <x v="0"/>
    <x v="0"/>
    <x v="71"/>
    <x v="329"/>
    <x v="192"/>
    <x v="527"/>
    <x v="100"/>
    <x v="372"/>
    <x v="2"/>
    <x v="2"/>
  </r>
  <r>
    <x v="53"/>
    <x v="0"/>
    <x v="0"/>
    <x v="4"/>
    <x v="53"/>
    <x v="53"/>
    <x v="11"/>
    <x v="11"/>
    <x v="11"/>
    <x v="11"/>
    <x v="1"/>
    <x v="166"/>
    <x v="330"/>
    <x v="67"/>
    <x v="140"/>
    <x v="107"/>
    <x v="373"/>
    <x v="2"/>
    <x v="2"/>
  </r>
  <r>
    <x v="53"/>
    <x v="0"/>
    <x v="0"/>
    <x v="4"/>
    <x v="53"/>
    <x v="53"/>
    <x v="3"/>
    <x v="3"/>
    <x v="3"/>
    <x v="3"/>
    <x v="2"/>
    <x v="170"/>
    <x v="331"/>
    <x v="117"/>
    <x v="528"/>
    <x v="130"/>
    <x v="207"/>
    <x v="2"/>
    <x v="2"/>
  </r>
  <r>
    <x v="53"/>
    <x v="0"/>
    <x v="0"/>
    <x v="4"/>
    <x v="53"/>
    <x v="53"/>
    <x v="1"/>
    <x v="1"/>
    <x v="1"/>
    <x v="1"/>
    <x v="3"/>
    <x v="269"/>
    <x v="276"/>
    <x v="56"/>
    <x v="529"/>
    <x v="131"/>
    <x v="274"/>
    <x v="2"/>
    <x v="2"/>
  </r>
  <r>
    <x v="53"/>
    <x v="0"/>
    <x v="0"/>
    <x v="4"/>
    <x v="53"/>
    <x v="53"/>
    <x v="16"/>
    <x v="16"/>
    <x v="16"/>
    <x v="16"/>
    <x v="4"/>
    <x v="280"/>
    <x v="130"/>
    <x v="47"/>
    <x v="394"/>
    <x v="100"/>
    <x v="372"/>
    <x v="2"/>
    <x v="2"/>
  </r>
  <r>
    <x v="53"/>
    <x v="0"/>
    <x v="0"/>
    <x v="4"/>
    <x v="53"/>
    <x v="53"/>
    <x v="19"/>
    <x v="19"/>
    <x v="19"/>
    <x v="19"/>
    <x v="4"/>
    <x v="280"/>
    <x v="130"/>
    <x v="55"/>
    <x v="530"/>
    <x v="45"/>
    <x v="130"/>
    <x v="2"/>
    <x v="2"/>
  </r>
  <r>
    <x v="53"/>
    <x v="0"/>
    <x v="0"/>
    <x v="4"/>
    <x v="53"/>
    <x v="53"/>
    <x v="7"/>
    <x v="7"/>
    <x v="7"/>
    <x v="7"/>
    <x v="4"/>
    <x v="280"/>
    <x v="130"/>
    <x v="51"/>
    <x v="380"/>
    <x v="130"/>
    <x v="207"/>
    <x v="2"/>
    <x v="2"/>
  </r>
  <r>
    <x v="53"/>
    <x v="0"/>
    <x v="0"/>
    <x v="4"/>
    <x v="53"/>
    <x v="53"/>
    <x v="5"/>
    <x v="5"/>
    <x v="5"/>
    <x v="5"/>
    <x v="7"/>
    <x v="281"/>
    <x v="61"/>
    <x v="59"/>
    <x v="531"/>
    <x v="126"/>
    <x v="67"/>
    <x v="2"/>
    <x v="2"/>
  </r>
  <r>
    <x v="53"/>
    <x v="0"/>
    <x v="0"/>
    <x v="4"/>
    <x v="53"/>
    <x v="53"/>
    <x v="36"/>
    <x v="36"/>
    <x v="36"/>
    <x v="36"/>
    <x v="8"/>
    <x v="282"/>
    <x v="62"/>
    <x v="54"/>
    <x v="532"/>
    <x v="71"/>
    <x v="261"/>
    <x v="2"/>
    <x v="2"/>
  </r>
  <r>
    <x v="53"/>
    <x v="0"/>
    <x v="0"/>
    <x v="4"/>
    <x v="53"/>
    <x v="53"/>
    <x v="15"/>
    <x v="15"/>
    <x v="15"/>
    <x v="15"/>
    <x v="9"/>
    <x v="283"/>
    <x v="123"/>
    <x v="53"/>
    <x v="533"/>
    <x v="81"/>
    <x v="87"/>
    <x v="2"/>
    <x v="2"/>
  </r>
  <r>
    <x v="53"/>
    <x v="0"/>
    <x v="0"/>
    <x v="4"/>
    <x v="53"/>
    <x v="53"/>
    <x v="17"/>
    <x v="17"/>
    <x v="17"/>
    <x v="17"/>
    <x v="10"/>
    <x v="284"/>
    <x v="212"/>
    <x v="111"/>
    <x v="96"/>
    <x v="81"/>
    <x v="87"/>
    <x v="2"/>
    <x v="2"/>
  </r>
  <r>
    <x v="53"/>
    <x v="0"/>
    <x v="0"/>
    <x v="4"/>
    <x v="53"/>
    <x v="53"/>
    <x v="23"/>
    <x v="23"/>
    <x v="23"/>
    <x v="23"/>
    <x v="10"/>
    <x v="284"/>
    <x v="212"/>
    <x v="78"/>
    <x v="534"/>
    <x v="45"/>
    <x v="130"/>
    <x v="2"/>
    <x v="2"/>
  </r>
  <r>
    <x v="53"/>
    <x v="0"/>
    <x v="0"/>
    <x v="4"/>
    <x v="53"/>
    <x v="53"/>
    <x v="13"/>
    <x v="13"/>
    <x v="13"/>
    <x v="13"/>
    <x v="10"/>
    <x v="284"/>
    <x v="212"/>
    <x v="111"/>
    <x v="96"/>
    <x v="81"/>
    <x v="87"/>
    <x v="2"/>
    <x v="2"/>
  </r>
  <r>
    <x v="53"/>
    <x v="0"/>
    <x v="0"/>
    <x v="4"/>
    <x v="53"/>
    <x v="53"/>
    <x v="9"/>
    <x v="9"/>
    <x v="9"/>
    <x v="9"/>
    <x v="10"/>
    <x v="284"/>
    <x v="212"/>
    <x v="85"/>
    <x v="87"/>
    <x v="100"/>
    <x v="372"/>
    <x v="2"/>
    <x v="2"/>
  </r>
  <r>
    <x v="53"/>
    <x v="0"/>
    <x v="0"/>
    <x v="4"/>
    <x v="53"/>
    <x v="53"/>
    <x v="6"/>
    <x v="6"/>
    <x v="6"/>
    <x v="6"/>
    <x v="10"/>
    <x v="284"/>
    <x v="212"/>
    <x v="54"/>
    <x v="532"/>
    <x v="131"/>
    <x v="274"/>
    <x v="2"/>
    <x v="2"/>
  </r>
  <r>
    <x v="53"/>
    <x v="0"/>
    <x v="0"/>
    <x v="4"/>
    <x v="53"/>
    <x v="53"/>
    <x v="20"/>
    <x v="20"/>
    <x v="20"/>
    <x v="20"/>
    <x v="15"/>
    <x v="285"/>
    <x v="203"/>
    <x v="53"/>
    <x v="533"/>
    <x v="45"/>
    <x v="130"/>
    <x v="2"/>
    <x v="2"/>
  </r>
  <r>
    <x v="53"/>
    <x v="0"/>
    <x v="0"/>
    <x v="4"/>
    <x v="53"/>
    <x v="53"/>
    <x v="2"/>
    <x v="2"/>
    <x v="2"/>
    <x v="2"/>
    <x v="15"/>
    <x v="285"/>
    <x v="203"/>
    <x v="57"/>
    <x v="535"/>
    <x v="131"/>
    <x v="274"/>
    <x v="2"/>
    <x v="2"/>
  </r>
  <r>
    <x v="53"/>
    <x v="0"/>
    <x v="0"/>
    <x v="4"/>
    <x v="53"/>
    <x v="53"/>
    <x v="60"/>
    <x v="60"/>
    <x v="60"/>
    <x v="60"/>
    <x v="15"/>
    <x v="285"/>
    <x v="203"/>
    <x v="53"/>
    <x v="533"/>
    <x v="45"/>
    <x v="130"/>
    <x v="2"/>
    <x v="2"/>
  </r>
  <r>
    <x v="53"/>
    <x v="0"/>
    <x v="0"/>
    <x v="4"/>
    <x v="53"/>
    <x v="53"/>
    <x v="61"/>
    <x v="61"/>
    <x v="61"/>
    <x v="61"/>
    <x v="18"/>
    <x v="286"/>
    <x v="220"/>
    <x v="53"/>
    <x v="533"/>
    <x v="71"/>
    <x v="261"/>
    <x v="2"/>
    <x v="2"/>
  </r>
  <r>
    <x v="53"/>
    <x v="0"/>
    <x v="0"/>
    <x v="4"/>
    <x v="53"/>
    <x v="53"/>
    <x v="55"/>
    <x v="55"/>
    <x v="55"/>
    <x v="55"/>
    <x v="18"/>
    <x v="286"/>
    <x v="220"/>
    <x v="53"/>
    <x v="533"/>
    <x v="71"/>
    <x v="261"/>
    <x v="2"/>
    <x v="2"/>
  </r>
  <r>
    <x v="53"/>
    <x v="0"/>
    <x v="0"/>
    <x v="4"/>
    <x v="53"/>
    <x v="53"/>
    <x v="10"/>
    <x v="10"/>
    <x v="10"/>
    <x v="10"/>
    <x v="18"/>
    <x v="286"/>
    <x v="220"/>
    <x v="53"/>
    <x v="533"/>
    <x v="71"/>
    <x v="261"/>
    <x v="2"/>
    <x v="2"/>
  </r>
  <r>
    <x v="53"/>
    <x v="0"/>
    <x v="0"/>
    <x v="4"/>
    <x v="53"/>
    <x v="53"/>
    <x v="21"/>
    <x v="21"/>
    <x v="21"/>
    <x v="21"/>
    <x v="18"/>
    <x v="286"/>
    <x v="220"/>
    <x v="53"/>
    <x v="533"/>
    <x v="71"/>
    <x v="261"/>
    <x v="2"/>
    <x v="2"/>
  </r>
  <r>
    <x v="53"/>
    <x v="0"/>
    <x v="0"/>
    <x v="4"/>
    <x v="53"/>
    <x v="53"/>
    <x v="4"/>
    <x v="4"/>
    <x v="4"/>
    <x v="4"/>
    <x v="18"/>
    <x v="286"/>
    <x v="220"/>
    <x v="57"/>
    <x v="535"/>
    <x v="130"/>
    <x v="207"/>
    <x v="2"/>
    <x v="2"/>
  </r>
  <r>
    <x v="54"/>
    <x v="0"/>
    <x v="0"/>
    <x v="4"/>
    <x v="54"/>
    <x v="54"/>
    <x v="0"/>
    <x v="0"/>
    <x v="0"/>
    <x v="0"/>
    <x v="0"/>
    <x v="56"/>
    <x v="332"/>
    <x v="76"/>
    <x v="536"/>
    <x v="68"/>
    <x v="358"/>
    <x v="2"/>
    <x v="14"/>
  </r>
  <r>
    <x v="54"/>
    <x v="0"/>
    <x v="0"/>
    <x v="4"/>
    <x v="54"/>
    <x v="54"/>
    <x v="34"/>
    <x v="34"/>
    <x v="34"/>
    <x v="34"/>
    <x v="1"/>
    <x v="125"/>
    <x v="333"/>
    <x v="138"/>
    <x v="537"/>
    <x v="45"/>
    <x v="374"/>
    <x v="2"/>
    <x v="14"/>
  </r>
  <r>
    <x v="54"/>
    <x v="0"/>
    <x v="0"/>
    <x v="4"/>
    <x v="54"/>
    <x v="54"/>
    <x v="1"/>
    <x v="1"/>
    <x v="1"/>
    <x v="1"/>
    <x v="2"/>
    <x v="271"/>
    <x v="334"/>
    <x v="80"/>
    <x v="538"/>
    <x v="130"/>
    <x v="207"/>
    <x v="2"/>
    <x v="14"/>
  </r>
  <r>
    <x v="54"/>
    <x v="0"/>
    <x v="0"/>
    <x v="4"/>
    <x v="54"/>
    <x v="54"/>
    <x v="36"/>
    <x v="36"/>
    <x v="36"/>
    <x v="36"/>
    <x v="3"/>
    <x v="281"/>
    <x v="282"/>
    <x v="57"/>
    <x v="539"/>
    <x v="68"/>
    <x v="358"/>
    <x v="2"/>
    <x v="14"/>
  </r>
  <r>
    <x v="54"/>
    <x v="0"/>
    <x v="0"/>
    <x v="4"/>
    <x v="54"/>
    <x v="54"/>
    <x v="45"/>
    <x v="45"/>
    <x v="45"/>
    <x v="45"/>
    <x v="3"/>
    <x v="281"/>
    <x v="282"/>
    <x v="96"/>
    <x v="540"/>
    <x v="130"/>
    <x v="207"/>
    <x v="2"/>
    <x v="14"/>
  </r>
  <r>
    <x v="54"/>
    <x v="0"/>
    <x v="0"/>
    <x v="4"/>
    <x v="54"/>
    <x v="54"/>
    <x v="2"/>
    <x v="2"/>
    <x v="2"/>
    <x v="2"/>
    <x v="3"/>
    <x v="281"/>
    <x v="282"/>
    <x v="84"/>
    <x v="332"/>
    <x v="131"/>
    <x v="277"/>
    <x v="2"/>
    <x v="14"/>
  </r>
  <r>
    <x v="54"/>
    <x v="0"/>
    <x v="0"/>
    <x v="4"/>
    <x v="54"/>
    <x v="54"/>
    <x v="7"/>
    <x v="7"/>
    <x v="7"/>
    <x v="7"/>
    <x v="3"/>
    <x v="281"/>
    <x v="282"/>
    <x v="96"/>
    <x v="540"/>
    <x v="130"/>
    <x v="207"/>
    <x v="2"/>
    <x v="14"/>
  </r>
  <r>
    <x v="54"/>
    <x v="0"/>
    <x v="0"/>
    <x v="4"/>
    <x v="54"/>
    <x v="54"/>
    <x v="6"/>
    <x v="6"/>
    <x v="6"/>
    <x v="6"/>
    <x v="7"/>
    <x v="283"/>
    <x v="245"/>
    <x v="59"/>
    <x v="60"/>
    <x v="130"/>
    <x v="207"/>
    <x v="2"/>
    <x v="14"/>
  </r>
  <r>
    <x v="54"/>
    <x v="0"/>
    <x v="0"/>
    <x v="4"/>
    <x v="54"/>
    <x v="54"/>
    <x v="8"/>
    <x v="8"/>
    <x v="8"/>
    <x v="8"/>
    <x v="8"/>
    <x v="284"/>
    <x v="152"/>
    <x v="57"/>
    <x v="539"/>
    <x v="126"/>
    <x v="329"/>
    <x v="2"/>
    <x v="14"/>
  </r>
  <r>
    <x v="54"/>
    <x v="0"/>
    <x v="0"/>
    <x v="4"/>
    <x v="54"/>
    <x v="54"/>
    <x v="21"/>
    <x v="21"/>
    <x v="21"/>
    <x v="21"/>
    <x v="8"/>
    <x v="284"/>
    <x v="152"/>
    <x v="53"/>
    <x v="225"/>
    <x v="68"/>
    <x v="358"/>
    <x v="2"/>
    <x v="14"/>
  </r>
  <r>
    <x v="54"/>
    <x v="0"/>
    <x v="0"/>
    <x v="4"/>
    <x v="54"/>
    <x v="54"/>
    <x v="18"/>
    <x v="18"/>
    <x v="18"/>
    <x v="18"/>
    <x v="10"/>
    <x v="285"/>
    <x v="191"/>
    <x v="57"/>
    <x v="539"/>
    <x v="131"/>
    <x v="277"/>
    <x v="2"/>
    <x v="14"/>
  </r>
  <r>
    <x v="54"/>
    <x v="0"/>
    <x v="0"/>
    <x v="4"/>
    <x v="54"/>
    <x v="54"/>
    <x v="9"/>
    <x v="9"/>
    <x v="9"/>
    <x v="9"/>
    <x v="10"/>
    <x v="285"/>
    <x v="191"/>
    <x v="85"/>
    <x v="87"/>
    <x v="81"/>
    <x v="375"/>
    <x v="2"/>
    <x v="14"/>
  </r>
  <r>
    <x v="54"/>
    <x v="0"/>
    <x v="0"/>
    <x v="4"/>
    <x v="54"/>
    <x v="54"/>
    <x v="3"/>
    <x v="3"/>
    <x v="3"/>
    <x v="3"/>
    <x v="10"/>
    <x v="285"/>
    <x v="191"/>
    <x v="47"/>
    <x v="541"/>
    <x v="126"/>
    <x v="329"/>
    <x v="2"/>
    <x v="14"/>
  </r>
  <r>
    <x v="54"/>
    <x v="0"/>
    <x v="0"/>
    <x v="4"/>
    <x v="54"/>
    <x v="54"/>
    <x v="4"/>
    <x v="4"/>
    <x v="4"/>
    <x v="4"/>
    <x v="10"/>
    <x v="285"/>
    <x v="191"/>
    <x v="47"/>
    <x v="541"/>
    <x v="126"/>
    <x v="329"/>
    <x v="2"/>
    <x v="14"/>
  </r>
  <r>
    <x v="54"/>
    <x v="0"/>
    <x v="0"/>
    <x v="4"/>
    <x v="54"/>
    <x v="54"/>
    <x v="41"/>
    <x v="41"/>
    <x v="41"/>
    <x v="41"/>
    <x v="10"/>
    <x v="285"/>
    <x v="191"/>
    <x v="53"/>
    <x v="225"/>
    <x v="45"/>
    <x v="374"/>
    <x v="2"/>
    <x v="14"/>
  </r>
  <r>
    <x v="54"/>
    <x v="0"/>
    <x v="0"/>
    <x v="4"/>
    <x v="54"/>
    <x v="54"/>
    <x v="16"/>
    <x v="16"/>
    <x v="16"/>
    <x v="16"/>
    <x v="15"/>
    <x v="286"/>
    <x v="92"/>
    <x v="85"/>
    <x v="87"/>
    <x v="68"/>
    <x v="358"/>
    <x v="2"/>
    <x v="14"/>
  </r>
  <r>
    <x v="54"/>
    <x v="0"/>
    <x v="0"/>
    <x v="4"/>
    <x v="54"/>
    <x v="54"/>
    <x v="15"/>
    <x v="15"/>
    <x v="15"/>
    <x v="15"/>
    <x v="15"/>
    <x v="286"/>
    <x v="92"/>
    <x v="53"/>
    <x v="225"/>
    <x v="71"/>
    <x v="290"/>
    <x v="2"/>
    <x v="14"/>
  </r>
  <r>
    <x v="54"/>
    <x v="0"/>
    <x v="0"/>
    <x v="4"/>
    <x v="54"/>
    <x v="54"/>
    <x v="11"/>
    <x v="11"/>
    <x v="11"/>
    <x v="11"/>
    <x v="15"/>
    <x v="286"/>
    <x v="92"/>
    <x v="47"/>
    <x v="541"/>
    <x v="131"/>
    <x v="277"/>
    <x v="2"/>
    <x v="14"/>
  </r>
  <r>
    <x v="54"/>
    <x v="0"/>
    <x v="0"/>
    <x v="4"/>
    <x v="54"/>
    <x v="54"/>
    <x v="50"/>
    <x v="50"/>
    <x v="50"/>
    <x v="50"/>
    <x v="15"/>
    <x v="286"/>
    <x v="92"/>
    <x v="47"/>
    <x v="541"/>
    <x v="131"/>
    <x v="277"/>
    <x v="2"/>
    <x v="14"/>
  </r>
  <r>
    <x v="54"/>
    <x v="0"/>
    <x v="0"/>
    <x v="4"/>
    <x v="54"/>
    <x v="54"/>
    <x v="62"/>
    <x v="62"/>
    <x v="62"/>
    <x v="62"/>
    <x v="15"/>
    <x v="286"/>
    <x v="92"/>
    <x v="85"/>
    <x v="87"/>
    <x v="68"/>
    <x v="358"/>
    <x v="2"/>
    <x v="14"/>
  </r>
  <r>
    <x v="54"/>
    <x v="0"/>
    <x v="0"/>
    <x v="4"/>
    <x v="54"/>
    <x v="54"/>
    <x v="5"/>
    <x v="5"/>
    <x v="5"/>
    <x v="5"/>
    <x v="15"/>
    <x v="286"/>
    <x v="92"/>
    <x v="47"/>
    <x v="541"/>
    <x v="131"/>
    <x v="277"/>
    <x v="2"/>
    <x v="14"/>
  </r>
  <r>
    <x v="55"/>
    <x v="0"/>
    <x v="0"/>
    <x v="4"/>
    <x v="55"/>
    <x v="55"/>
    <x v="16"/>
    <x v="16"/>
    <x v="16"/>
    <x v="16"/>
    <x v="0"/>
    <x v="170"/>
    <x v="335"/>
    <x v="111"/>
    <x v="74"/>
    <x v="41"/>
    <x v="376"/>
    <x v="2"/>
    <x v="2"/>
  </r>
  <r>
    <x v="55"/>
    <x v="0"/>
    <x v="0"/>
    <x v="4"/>
    <x v="55"/>
    <x v="55"/>
    <x v="34"/>
    <x v="34"/>
    <x v="34"/>
    <x v="34"/>
    <x v="1"/>
    <x v="280"/>
    <x v="192"/>
    <x v="51"/>
    <x v="277"/>
    <x v="130"/>
    <x v="207"/>
    <x v="2"/>
    <x v="2"/>
  </r>
  <r>
    <x v="55"/>
    <x v="0"/>
    <x v="0"/>
    <x v="4"/>
    <x v="55"/>
    <x v="55"/>
    <x v="1"/>
    <x v="1"/>
    <x v="1"/>
    <x v="1"/>
    <x v="1"/>
    <x v="280"/>
    <x v="192"/>
    <x v="51"/>
    <x v="277"/>
    <x v="130"/>
    <x v="207"/>
    <x v="2"/>
    <x v="2"/>
  </r>
  <r>
    <x v="55"/>
    <x v="0"/>
    <x v="0"/>
    <x v="4"/>
    <x v="55"/>
    <x v="55"/>
    <x v="10"/>
    <x v="10"/>
    <x v="10"/>
    <x v="10"/>
    <x v="3"/>
    <x v="281"/>
    <x v="336"/>
    <x v="55"/>
    <x v="280"/>
    <x v="71"/>
    <x v="278"/>
    <x v="2"/>
    <x v="2"/>
  </r>
  <r>
    <x v="55"/>
    <x v="0"/>
    <x v="0"/>
    <x v="4"/>
    <x v="55"/>
    <x v="55"/>
    <x v="6"/>
    <x v="6"/>
    <x v="6"/>
    <x v="6"/>
    <x v="4"/>
    <x v="282"/>
    <x v="217"/>
    <x v="84"/>
    <x v="188"/>
    <x v="130"/>
    <x v="207"/>
    <x v="2"/>
    <x v="2"/>
  </r>
  <r>
    <x v="55"/>
    <x v="0"/>
    <x v="0"/>
    <x v="4"/>
    <x v="55"/>
    <x v="55"/>
    <x v="4"/>
    <x v="4"/>
    <x v="4"/>
    <x v="4"/>
    <x v="5"/>
    <x v="283"/>
    <x v="158"/>
    <x v="59"/>
    <x v="542"/>
    <x v="130"/>
    <x v="207"/>
    <x v="2"/>
    <x v="2"/>
  </r>
  <r>
    <x v="55"/>
    <x v="0"/>
    <x v="0"/>
    <x v="4"/>
    <x v="55"/>
    <x v="55"/>
    <x v="15"/>
    <x v="15"/>
    <x v="15"/>
    <x v="15"/>
    <x v="6"/>
    <x v="284"/>
    <x v="24"/>
    <x v="47"/>
    <x v="303"/>
    <x v="71"/>
    <x v="278"/>
    <x v="2"/>
    <x v="2"/>
  </r>
  <r>
    <x v="55"/>
    <x v="0"/>
    <x v="0"/>
    <x v="4"/>
    <x v="55"/>
    <x v="55"/>
    <x v="19"/>
    <x v="19"/>
    <x v="19"/>
    <x v="19"/>
    <x v="6"/>
    <x v="284"/>
    <x v="24"/>
    <x v="53"/>
    <x v="155"/>
    <x v="68"/>
    <x v="253"/>
    <x v="2"/>
    <x v="2"/>
  </r>
  <r>
    <x v="55"/>
    <x v="0"/>
    <x v="0"/>
    <x v="4"/>
    <x v="55"/>
    <x v="55"/>
    <x v="8"/>
    <x v="8"/>
    <x v="8"/>
    <x v="8"/>
    <x v="6"/>
    <x v="284"/>
    <x v="24"/>
    <x v="54"/>
    <x v="543"/>
    <x v="131"/>
    <x v="171"/>
    <x v="2"/>
    <x v="2"/>
  </r>
  <r>
    <x v="55"/>
    <x v="0"/>
    <x v="0"/>
    <x v="4"/>
    <x v="55"/>
    <x v="55"/>
    <x v="41"/>
    <x v="41"/>
    <x v="41"/>
    <x v="41"/>
    <x v="6"/>
    <x v="284"/>
    <x v="24"/>
    <x v="78"/>
    <x v="324"/>
    <x v="45"/>
    <x v="377"/>
    <x v="2"/>
    <x v="2"/>
  </r>
  <r>
    <x v="55"/>
    <x v="0"/>
    <x v="0"/>
    <x v="4"/>
    <x v="55"/>
    <x v="55"/>
    <x v="63"/>
    <x v="63"/>
    <x v="63"/>
    <x v="63"/>
    <x v="10"/>
    <x v="285"/>
    <x v="110"/>
    <x v="57"/>
    <x v="62"/>
    <x v="131"/>
    <x v="171"/>
    <x v="2"/>
    <x v="2"/>
  </r>
  <r>
    <x v="55"/>
    <x v="0"/>
    <x v="0"/>
    <x v="4"/>
    <x v="55"/>
    <x v="55"/>
    <x v="11"/>
    <x v="11"/>
    <x v="11"/>
    <x v="11"/>
    <x v="10"/>
    <x v="285"/>
    <x v="110"/>
    <x v="53"/>
    <x v="155"/>
    <x v="45"/>
    <x v="377"/>
    <x v="2"/>
    <x v="2"/>
  </r>
  <r>
    <x v="55"/>
    <x v="0"/>
    <x v="0"/>
    <x v="4"/>
    <x v="55"/>
    <x v="55"/>
    <x v="36"/>
    <x v="36"/>
    <x v="36"/>
    <x v="36"/>
    <x v="12"/>
    <x v="286"/>
    <x v="174"/>
    <x v="57"/>
    <x v="62"/>
    <x v="130"/>
    <x v="207"/>
    <x v="2"/>
    <x v="2"/>
  </r>
  <r>
    <x v="55"/>
    <x v="0"/>
    <x v="0"/>
    <x v="4"/>
    <x v="55"/>
    <x v="55"/>
    <x v="0"/>
    <x v="0"/>
    <x v="0"/>
    <x v="0"/>
    <x v="12"/>
    <x v="286"/>
    <x v="174"/>
    <x v="47"/>
    <x v="303"/>
    <x v="131"/>
    <x v="171"/>
    <x v="2"/>
    <x v="2"/>
  </r>
  <r>
    <x v="55"/>
    <x v="0"/>
    <x v="0"/>
    <x v="4"/>
    <x v="55"/>
    <x v="55"/>
    <x v="31"/>
    <x v="31"/>
    <x v="31"/>
    <x v="31"/>
    <x v="12"/>
    <x v="286"/>
    <x v="174"/>
    <x v="57"/>
    <x v="62"/>
    <x v="130"/>
    <x v="207"/>
    <x v="2"/>
    <x v="2"/>
  </r>
  <r>
    <x v="55"/>
    <x v="0"/>
    <x v="0"/>
    <x v="4"/>
    <x v="55"/>
    <x v="55"/>
    <x v="23"/>
    <x v="23"/>
    <x v="23"/>
    <x v="23"/>
    <x v="15"/>
    <x v="287"/>
    <x v="33"/>
    <x v="85"/>
    <x v="87"/>
    <x v="45"/>
    <x v="377"/>
    <x v="2"/>
    <x v="2"/>
  </r>
  <r>
    <x v="55"/>
    <x v="0"/>
    <x v="0"/>
    <x v="4"/>
    <x v="55"/>
    <x v="55"/>
    <x v="64"/>
    <x v="64"/>
    <x v="64"/>
    <x v="64"/>
    <x v="15"/>
    <x v="287"/>
    <x v="33"/>
    <x v="85"/>
    <x v="87"/>
    <x v="45"/>
    <x v="377"/>
    <x v="2"/>
    <x v="2"/>
  </r>
  <r>
    <x v="55"/>
    <x v="0"/>
    <x v="0"/>
    <x v="4"/>
    <x v="55"/>
    <x v="55"/>
    <x v="65"/>
    <x v="65"/>
    <x v="65"/>
    <x v="65"/>
    <x v="15"/>
    <x v="287"/>
    <x v="33"/>
    <x v="78"/>
    <x v="324"/>
    <x v="131"/>
    <x v="171"/>
    <x v="2"/>
    <x v="2"/>
  </r>
  <r>
    <x v="55"/>
    <x v="0"/>
    <x v="0"/>
    <x v="4"/>
    <x v="55"/>
    <x v="55"/>
    <x v="56"/>
    <x v="56"/>
    <x v="56"/>
    <x v="56"/>
    <x v="15"/>
    <x v="287"/>
    <x v="33"/>
    <x v="78"/>
    <x v="324"/>
    <x v="131"/>
    <x v="171"/>
    <x v="2"/>
    <x v="2"/>
  </r>
  <r>
    <x v="55"/>
    <x v="0"/>
    <x v="0"/>
    <x v="4"/>
    <x v="55"/>
    <x v="55"/>
    <x v="27"/>
    <x v="27"/>
    <x v="27"/>
    <x v="27"/>
    <x v="15"/>
    <x v="287"/>
    <x v="33"/>
    <x v="78"/>
    <x v="324"/>
    <x v="131"/>
    <x v="171"/>
    <x v="2"/>
    <x v="2"/>
  </r>
  <r>
    <x v="55"/>
    <x v="0"/>
    <x v="0"/>
    <x v="4"/>
    <x v="55"/>
    <x v="55"/>
    <x v="47"/>
    <x v="47"/>
    <x v="47"/>
    <x v="47"/>
    <x v="15"/>
    <x v="287"/>
    <x v="33"/>
    <x v="78"/>
    <x v="324"/>
    <x v="131"/>
    <x v="171"/>
    <x v="2"/>
    <x v="2"/>
  </r>
  <r>
    <x v="55"/>
    <x v="0"/>
    <x v="0"/>
    <x v="4"/>
    <x v="55"/>
    <x v="55"/>
    <x v="22"/>
    <x v="22"/>
    <x v="22"/>
    <x v="22"/>
    <x v="15"/>
    <x v="287"/>
    <x v="33"/>
    <x v="53"/>
    <x v="155"/>
    <x v="126"/>
    <x v="76"/>
    <x v="2"/>
    <x v="2"/>
  </r>
  <r>
    <x v="55"/>
    <x v="0"/>
    <x v="0"/>
    <x v="4"/>
    <x v="55"/>
    <x v="55"/>
    <x v="66"/>
    <x v="66"/>
    <x v="66"/>
    <x v="66"/>
    <x v="15"/>
    <x v="287"/>
    <x v="33"/>
    <x v="78"/>
    <x v="324"/>
    <x v="131"/>
    <x v="171"/>
    <x v="2"/>
    <x v="2"/>
  </r>
  <r>
    <x v="55"/>
    <x v="0"/>
    <x v="0"/>
    <x v="4"/>
    <x v="55"/>
    <x v="55"/>
    <x v="45"/>
    <x v="45"/>
    <x v="45"/>
    <x v="45"/>
    <x v="15"/>
    <x v="287"/>
    <x v="33"/>
    <x v="111"/>
    <x v="74"/>
    <x v="71"/>
    <x v="278"/>
    <x v="2"/>
    <x v="2"/>
  </r>
  <r>
    <x v="55"/>
    <x v="0"/>
    <x v="0"/>
    <x v="4"/>
    <x v="55"/>
    <x v="55"/>
    <x v="3"/>
    <x v="3"/>
    <x v="3"/>
    <x v="3"/>
    <x v="15"/>
    <x v="287"/>
    <x v="33"/>
    <x v="53"/>
    <x v="155"/>
    <x v="126"/>
    <x v="76"/>
    <x v="2"/>
    <x v="2"/>
  </r>
  <r>
    <x v="56"/>
    <x v="0"/>
    <x v="0"/>
    <x v="4"/>
    <x v="56"/>
    <x v="56"/>
    <x v="0"/>
    <x v="0"/>
    <x v="0"/>
    <x v="0"/>
    <x v="0"/>
    <x v="83"/>
    <x v="337"/>
    <x v="141"/>
    <x v="544"/>
    <x v="126"/>
    <x v="93"/>
    <x v="2"/>
    <x v="14"/>
  </r>
  <r>
    <x v="56"/>
    <x v="0"/>
    <x v="0"/>
    <x v="4"/>
    <x v="56"/>
    <x v="56"/>
    <x v="1"/>
    <x v="1"/>
    <x v="1"/>
    <x v="1"/>
    <x v="1"/>
    <x v="162"/>
    <x v="338"/>
    <x v="130"/>
    <x v="545"/>
    <x v="45"/>
    <x v="378"/>
    <x v="2"/>
    <x v="14"/>
  </r>
  <r>
    <x v="56"/>
    <x v="0"/>
    <x v="0"/>
    <x v="4"/>
    <x v="56"/>
    <x v="56"/>
    <x v="11"/>
    <x v="11"/>
    <x v="11"/>
    <x v="11"/>
    <x v="2"/>
    <x v="164"/>
    <x v="296"/>
    <x v="126"/>
    <x v="24"/>
    <x v="44"/>
    <x v="379"/>
    <x v="2"/>
    <x v="14"/>
  </r>
  <r>
    <x v="56"/>
    <x v="0"/>
    <x v="0"/>
    <x v="4"/>
    <x v="56"/>
    <x v="56"/>
    <x v="34"/>
    <x v="34"/>
    <x v="34"/>
    <x v="34"/>
    <x v="3"/>
    <x v="165"/>
    <x v="339"/>
    <x v="146"/>
    <x v="546"/>
    <x v="126"/>
    <x v="93"/>
    <x v="2"/>
    <x v="14"/>
  </r>
  <r>
    <x v="56"/>
    <x v="0"/>
    <x v="0"/>
    <x v="4"/>
    <x v="56"/>
    <x v="56"/>
    <x v="2"/>
    <x v="2"/>
    <x v="2"/>
    <x v="2"/>
    <x v="4"/>
    <x v="279"/>
    <x v="256"/>
    <x v="67"/>
    <x v="410"/>
    <x v="131"/>
    <x v="341"/>
    <x v="2"/>
    <x v="14"/>
  </r>
  <r>
    <x v="56"/>
    <x v="0"/>
    <x v="0"/>
    <x v="4"/>
    <x v="56"/>
    <x v="56"/>
    <x v="4"/>
    <x v="4"/>
    <x v="4"/>
    <x v="4"/>
    <x v="5"/>
    <x v="278"/>
    <x v="41"/>
    <x v="59"/>
    <x v="156"/>
    <x v="45"/>
    <x v="378"/>
    <x v="2"/>
    <x v="14"/>
  </r>
  <r>
    <x v="56"/>
    <x v="0"/>
    <x v="0"/>
    <x v="4"/>
    <x v="56"/>
    <x v="56"/>
    <x v="5"/>
    <x v="5"/>
    <x v="5"/>
    <x v="5"/>
    <x v="6"/>
    <x v="281"/>
    <x v="61"/>
    <x v="59"/>
    <x v="156"/>
    <x v="126"/>
    <x v="93"/>
    <x v="2"/>
    <x v="14"/>
  </r>
  <r>
    <x v="56"/>
    <x v="0"/>
    <x v="0"/>
    <x v="4"/>
    <x v="56"/>
    <x v="56"/>
    <x v="36"/>
    <x v="36"/>
    <x v="36"/>
    <x v="36"/>
    <x v="7"/>
    <x v="283"/>
    <x v="123"/>
    <x v="54"/>
    <x v="547"/>
    <x v="126"/>
    <x v="93"/>
    <x v="2"/>
    <x v="14"/>
  </r>
  <r>
    <x v="56"/>
    <x v="0"/>
    <x v="0"/>
    <x v="4"/>
    <x v="56"/>
    <x v="56"/>
    <x v="19"/>
    <x v="19"/>
    <x v="19"/>
    <x v="19"/>
    <x v="7"/>
    <x v="283"/>
    <x v="123"/>
    <x v="53"/>
    <x v="61"/>
    <x v="81"/>
    <x v="319"/>
    <x v="2"/>
    <x v="14"/>
  </r>
  <r>
    <x v="56"/>
    <x v="0"/>
    <x v="0"/>
    <x v="4"/>
    <x v="56"/>
    <x v="56"/>
    <x v="7"/>
    <x v="7"/>
    <x v="7"/>
    <x v="7"/>
    <x v="7"/>
    <x v="283"/>
    <x v="123"/>
    <x v="59"/>
    <x v="156"/>
    <x v="130"/>
    <x v="207"/>
    <x v="2"/>
    <x v="14"/>
  </r>
  <r>
    <x v="56"/>
    <x v="0"/>
    <x v="0"/>
    <x v="4"/>
    <x v="56"/>
    <x v="56"/>
    <x v="6"/>
    <x v="6"/>
    <x v="6"/>
    <x v="6"/>
    <x v="7"/>
    <x v="283"/>
    <x v="123"/>
    <x v="59"/>
    <x v="156"/>
    <x v="130"/>
    <x v="207"/>
    <x v="2"/>
    <x v="14"/>
  </r>
  <r>
    <x v="56"/>
    <x v="0"/>
    <x v="0"/>
    <x v="4"/>
    <x v="56"/>
    <x v="56"/>
    <x v="16"/>
    <x v="16"/>
    <x v="16"/>
    <x v="16"/>
    <x v="11"/>
    <x v="284"/>
    <x v="212"/>
    <x v="78"/>
    <x v="497"/>
    <x v="45"/>
    <x v="378"/>
    <x v="2"/>
    <x v="14"/>
  </r>
  <r>
    <x v="56"/>
    <x v="0"/>
    <x v="0"/>
    <x v="4"/>
    <x v="56"/>
    <x v="56"/>
    <x v="17"/>
    <x v="17"/>
    <x v="17"/>
    <x v="17"/>
    <x v="11"/>
    <x v="284"/>
    <x v="212"/>
    <x v="53"/>
    <x v="61"/>
    <x v="68"/>
    <x v="350"/>
    <x v="2"/>
    <x v="14"/>
  </r>
  <r>
    <x v="56"/>
    <x v="0"/>
    <x v="0"/>
    <x v="4"/>
    <x v="56"/>
    <x v="56"/>
    <x v="13"/>
    <x v="13"/>
    <x v="13"/>
    <x v="13"/>
    <x v="11"/>
    <x v="284"/>
    <x v="212"/>
    <x v="111"/>
    <x v="67"/>
    <x v="81"/>
    <x v="319"/>
    <x v="2"/>
    <x v="14"/>
  </r>
  <r>
    <x v="56"/>
    <x v="0"/>
    <x v="0"/>
    <x v="4"/>
    <x v="56"/>
    <x v="56"/>
    <x v="3"/>
    <x v="3"/>
    <x v="3"/>
    <x v="3"/>
    <x v="11"/>
    <x v="284"/>
    <x v="212"/>
    <x v="57"/>
    <x v="416"/>
    <x v="126"/>
    <x v="93"/>
    <x v="2"/>
    <x v="14"/>
  </r>
  <r>
    <x v="56"/>
    <x v="0"/>
    <x v="0"/>
    <x v="4"/>
    <x v="56"/>
    <x v="56"/>
    <x v="37"/>
    <x v="37"/>
    <x v="37"/>
    <x v="37"/>
    <x v="11"/>
    <x v="284"/>
    <x v="212"/>
    <x v="57"/>
    <x v="416"/>
    <x v="126"/>
    <x v="93"/>
    <x v="2"/>
    <x v="14"/>
  </r>
  <r>
    <x v="56"/>
    <x v="0"/>
    <x v="0"/>
    <x v="4"/>
    <x v="56"/>
    <x v="56"/>
    <x v="27"/>
    <x v="27"/>
    <x v="27"/>
    <x v="27"/>
    <x v="16"/>
    <x v="285"/>
    <x v="203"/>
    <x v="54"/>
    <x v="547"/>
    <x v="130"/>
    <x v="207"/>
    <x v="2"/>
    <x v="14"/>
  </r>
  <r>
    <x v="56"/>
    <x v="0"/>
    <x v="0"/>
    <x v="4"/>
    <x v="56"/>
    <x v="56"/>
    <x v="10"/>
    <x v="10"/>
    <x v="10"/>
    <x v="10"/>
    <x v="16"/>
    <x v="285"/>
    <x v="203"/>
    <x v="78"/>
    <x v="497"/>
    <x v="71"/>
    <x v="240"/>
    <x v="2"/>
    <x v="14"/>
  </r>
  <r>
    <x v="56"/>
    <x v="0"/>
    <x v="0"/>
    <x v="4"/>
    <x v="56"/>
    <x v="56"/>
    <x v="8"/>
    <x v="8"/>
    <x v="8"/>
    <x v="8"/>
    <x v="16"/>
    <x v="285"/>
    <x v="203"/>
    <x v="47"/>
    <x v="102"/>
    <x v="126"/>
    <x v="93"/>
    <x v="2"/>
    <x v="14"/>
  </r>
  <r>
    <x v="56"/>
    <x v="0"/>
    <x v="0"/>
    <x v="4"/>
    <x v="56"/>
    <x v="56"/>
    <x v="14"/>
    <x v="14"/>
    <x v="14"/>
    <x v="14"/>
    <x v="16"/>
    <x v="285"/>
    <x v="203"/>
    <x v="78"/>
    <x v="497"/>
    <x v="71"/>
    <x v="240"/>
    <x v="2"/>
    <x v="14"/>
  </r>
  <r>
    <x v="56"/>
    <x v="0"/>
    <x v="0"/>
    <x v="4"/>
    <x v="56"/>
    <x v="56"/>
    <x v="12"/>
    <x v="12"/>
    <x v="12"/>
    <x v="12"/>
    <x v="16"/>
    <x v="285"/>
    <x v="203"/>
    <x v="53"/>
    <x v="61"/>
    <x v="45"/>
    <x v="378"/>
    <x v="2"/>
    <x v="14"/>
  </r>
  <r>
    <x v="57"/>
    <x v="0"/>
    <x v="0"/>
    <x v="4"/>
    <x v="57"/>
    <x v="57"/>
    <x v="66"/>
    <x v="66"/>
    <x v="66"/>
    <x v="66"/>
    <x v="0"/>
    <x v="79"/>
    <x v="340"/>
    <x v="53"/>
    <x v="55"/>
    <x v="94"/>
    <x v="380"/>
    <x v="2"/>
    <x v="2"/>
  </r>
  <r>
    <x v="57"/>
    <x v="0"/>
    <x v="0"/>
    <x v="4"/>
    <x v="57"/>
    <x v="57"/>
    <x v="50"/>
    <x v="50"/>
    <x v="50"/>
    <x v="50"/>
    <x v="1"/>
    <x v="73"/>
    <x v="341"/>
    <x v="79"/>
    <x v="548"/>
    <x v="116"/>
    <x v="381"/>
    <x v="2"/>
    <x v="2"/>
  </r>
  <r>
    <x v="57"/>
    <x v="0"/>
    <x v="0"/>
    <x v="4"/>
    <x v="57"/>
    <x v="57"/>
    <x v="8"/>
    <x v="8"/>
    <x v="8"/>
    <x v="8"/>
    <x v="2"/>
    <x v="87"/>
    <x v="342"/>
    <x v="146"/>
    <x v="549"/>
    <x v="129"/>
    <x v="382"/>
    <x v="2"/>
    <x v="2"/>
  </r>
  <r>
    <x v="57"/>
    <x v="0"/>
    <x v="0"/>
    <x v="4"/>
    <x v="57"/>
    <x v="57"/>
    <x v="9"/>
    <x v="9"/>
    <x v="9"/>
    <x v="9"/>
    <x v="3"/>
    <x v="125"/>
    <x v="343"/>
    <x v="85"/>
    <x v="87"/>
    <x v="83"/>
    <x v="383"/>
    <x v="1"/>
    <x v="27"/>
  </r>
  <r>
    <x v="57"/>
    <x v="0"/>
    <x v="0"/>
    <x v="4"/>
    <x v="57"/>
    <x v="57"/>
    <x v="45"/>
    <x v="45"/>
    <x v="45"/>
    <x v="45"/>
    <x v="4"/>
    <x v="131"/>
    <x v="344"/>
    <x v="67"/>
    <x v="493"/>
    <x v="129"/>
    <x v="382"/>
    <x v="2"/>
    <x v="2"/>
  </r>
  <r>
    <x v="57"/>
    <x v="0"/>
    <x v="0"/>
    <x v="4"/>
    <x v="57"/>
    <x v="57"/>
    <x v="3"/>
    <x v="3"/>
    <x v="3"/>
    <x v="3"/>
    <x v="5"/>
    <x v="163"/>
    <x v="345"/>
    <x v="149"/>
    <x v="550"/>
    <x v="63"/>
    <x v="82"/>
    <x v="2"/>
    <x v="2"/>
  </r>
  <r>
    <x v="57"/>
    <x v="0"/>
    <x v="0"/>
    <x v="4"/>
    <x v="57"/>
    <x v="57"/>
    <x v="0"/>
    <x v="0"/>
    <x v="0"/>
    <x v="0"/>
    <x v="6"/>
    <x v="267"/>
    <x v="346"/>
    <x v="146"/>
    <x v="549"/>
    <x v="45"/>
    <x v="138"/>
    <x v="2"/>
    <x v="2"/>
  </r>
  <r>
    <x v="57"/>
    <x v="0"/>
    <x v="0"/>
    <x v="4"/>
    <x v="57"/>
    <x v="57"/>
    <x v="16"/>
    <x v="16"/>
    <x v="16"/>
    <x v="16"/>
    <x v="7"/>
    <x v="166"/>
    <x v="148"/>
    <x v="78"/>
    <x v="551"/>
    <x v="64"/>
    <x v="243"/>
    <x v="2"/>
    <x v="2"/>
  </r>
  <r>
    <x v="57"/>
    <x v="0"/>
    <x v="0"/>
    <x v="4"/>
    <x v="57"/>
    <x v="57"/>
    <x v="27"/>
    <x v="27"/>
    <x v="27"/>
    <x v="27"/>
    <x v="8"/>
    <x v="170"/>
    <x v="131"/>
    <x v="47"/>
    <x v="552"/>
    <x v="44"/>
    <x v="213"/>
    <x v="2"/>
    <x v="2"/>
  </r>
  <r>
    <x v="57"/>
    <x v="0"/>
    <x v="0"/>
    <x v="4"/>
    <x v="57"/>
    <x v="57"/>
    <x v="67"/>
    <x v="67"/>
    <x v="67"/>
    <x v="67"/>
    <x v="9"/>
    <x v="269"/>
    <x v="162"/>
    <x v="67"/>
    <x v="493"/>
    <x v="68"/>
    <x v="295"/>
    <x v="2"/>
    <x v="2"/>
  </r>
  <r>
    <x v="57"/>
    <x v="0"/>
    <x v="0"/>
    <x v="4"/>
    <x v="57"/>
    <x v="57"/>
    <x v="10"/>
    <x v="10"/>
    <x v="10"/>
    <x v="10"/>
    <x v="10"/>
    <x v="171"/>
    <x v="322"/>
    <x v="55"/>
    <x v="450"/>
    <x v="113"/>
    <x v="74"/>
    <x v="2"/>
    <x v="2"/>
  </r>
  <r>
    <x v="57"/>
    <x v="0"/>
    <x v="0"/>
    <x v="4"/>
    <x v="57"/>
    <x v="57"/>
    <x v="34"/>
    <x v="34"/>
    <x v="34"/>
    <x v="34"/>
    <x v="11"/>
    <x v="279"/>
    <x v="99"/>
    <x v="126"/>
    <x v="311"/>
    <x v="126"/>
    <x v="239"/>
    <x v="2"/>
    <x v="2"/>
  </r>
  <r>
    <x v="57"/>
    <x v="0"/>
    <x v="0"/>
    <x v="4"/>
    <x v="57"/>
    <x v="57"/>
    <x v="31"/>
    <x v="31"/>
    <x v="31"/>
    <x v="31"/>
    <x v="11"/>
    <x v="279"/>
    <x v="99"/>
    <x v="126"/>
    <x v="311"/>
    <x v="126"/>
    <x v="239"/>
    <x v="2"/>
    <x v="2"/>
  </r>
  <r>
    <x v="57"/>
    <x v="0"/>
    <x v="0"/>
    <x v="4"/>
    <x v="57"/>
    <x v="57"/>
    <x v="15"/>
    <x v="15"/>
    <x v="15"/>
    <x v="15"/>
    <x v="13"/>
    <x v="277"/>
    <x v="31"/>
    <x v="78"/>
    <x v="551"/>
    <x v="107"/>
    <x v="168"/>
    <x v="2"/>
    <x v="2"/>
  </r>
  <r>
    <x v="57"/>
    <x v="0"/>
    <x v="0"/>
    <x v="4"/>
    <x v="57"/>
    <x v="57"/>
    <x v="2"/>
    <x v="2"/>
    <x v="2"/>
    <x v="2"/>
    <x v="14"/>
    <x v="278"/>
    <x v="13"/>
    <x v="126"/>
    <x v="311"/>
    <x v="130"/>
    <x v="207"/>
    <x v="2"/>
    <x v="2"/>
  </r>
  <r>
    <x v="57"/>
    <x v="0"/>
    <x v="0"/>
    <x v="4"/>
    <x v="57"/>
    <x v="57"/>
    <x v="1"/>
    <x v="1"/>
    <x v="1"/>
    <x v="1"/>
    <x v="14"/>
    <x v="278"/>
    <x v="13"/>
    <x v="126"/>
    <x v="311"/>
    <x v="130"/>
    <x v="207"/>
    <x v="2"/>
    <x v="2"/>
  </r>
  <r>
    <x v="57"/>
    <x v="0"/>
    <x v="0"/>
    <x v="4"/>
    <x v="57"/>
    <x v="57"/>
    <x v="17"/>
    <x v="17"/>
    <x v="17"/>
    <x v="17"/>
    <x v="16"/>
    <x v="280"/>
    <x v="91"/>
    <x v="85"/>
    <x v="87"/>
    <x v="111"/>
    <x v="212"/>
    <x v="2"/>
    <x v="2"/>
  </r>
  <r>
    <x v="57"/>
    <x v="0"/>
    <x v="0"/>
    <x v="4"/>
    <x v="57"/>
    <x v="57"/>
    <x v="62"/>
    <x v="62"/>
    <x v="62"/>
    <x v="62"/>
    <x v="16"/>
    <x v="280"/>
    <x v="91"/>
    <x v="85"/>
    <x v="87"/>
    <x v="111"/>
    <x v="212"/>
    <x v="2"/>
    <x v="2"/>
  </r>
  <r>
    <x v="57"/>
    <x v="0"/>
    <x v="0"/>
    <x v="4"/>
    <x v="57"/>
    <x v="57"/>
    <x v="6"/>
    <x v="6"/>
    <x v="6"/>
    <x v="6"/>
    <x v="16"/>
    <x v="280"/>
    <x v="91"/>
    <x v="96"/>
    <x v="553"/>
    <x v="131"/>
    <x v="384"/>
    <x v="2"/>
    <x v="2"/>
  </r>
  <r>
    <x v="57"/>
    <x v="0"/>
    <x v="0"/>
    <x v="4"/>
    <x v="57"/>
    <x v="57"/>
    <x v="13"/>
    <x v="13"/>
    <x v="13"/>
    <x v="13"/>
    <x v="19"/>
    <x v="281"/>
    <x v="36"/>
    <x v="47"/>
    <x v="552"/>
    <x v="81"/>
    <x v="152"/>
    <x v="2"/>
    <x v="2"/>
  </r>
  <r>
    <x v="57"/>
    <x v="0"/>
    <x v="0"/>
    <x v="4"/>
    <x v="57"/>
    <x v="57"/>
    <x v="7"/>
    <x v="7"/>
    <x v="7"/>
    <x v="7"/>
    <x v="19"/>
    <x v="281"/>
    <x v="36"/>
    <x v="96"/>
    <x v="553"/>
    <x v="130"/>
    <x v="207"/>
    <x v="2"/>
    <x v="2"/>
  </r>
  <r>
    <x v="58"/>
    <x v="0"/>
    <x v="0"/>
    <x v="4"/>
    <x v="58"/>
    <x v="58"/>
    <x v="50"/>
    <x v="50"/>
    <x v="50"/>
    <x v="50"/>
    <x v="0"/>
    <x v="279"/>
    <x v="347"/>
    <x v="126"/>
    <x v="554"/>
    <x v="126"/>
    <x v="129"/>
    <x v="2"/>
    <x v="14"/>
  </r>
  <r>
    <x v="58"/>
    <x v="0"/>
    <x v="0"/>
    <x v="4"/>
    <x v="58"/>
    <x v="58"/>
    <x v="68"/>
    <x v="68"/>
    <x v="68"/>
    <x v="68"/>
    <x v="1"/>
    <x v="280"/>
    <x v="348"/>
    <x v="85"/>
    <x v="87"/>
    <x v="111"/>
    <x v="385"/>
    <x v="2"/>
    <x v="14"/>
  </r>
  <r>
    <x v="58"/>
    <x v="0"/>
    <x v="0"/>
    <x v="4"/>
    <x v="58"/>
    <x v="58"/>
    <x v="3"/>
    <x v="3"/>
    <x v="3"/>
    <x v="3"/>
    <x v="2"/>
    <x v="281"/>
    <x v="349"/>
    <x v="84"/>
    <x v="555"/>
    <x v="131"/>
    <x v="320"/>
    <x v="2"/>
    <x v="14"/>
  </r>
  <r>
    <x v="58"/>
    <x v="0"/>
    <x v="0"/>
    <x v="4"/>
    <x v="58"/>
    <x v="58"/>
    <x v="1"/>
    <x v="1"/>
    <x v="1"/>
    <x v="1"/>
    <x v="2"/>
    <x v="281"/>
    <x v="349"/>
    <x v="96"/>
    <x v="556"/>
    <x v="130"/>
    <x v="207"/>
    <x v="2"/>
    <x v="14"/>
  </r>
  <r>
    <x v="58"/>
    <x v="0"/>
    <x v="0"/>
    <x v="4"/>
    <x v="58"/>
    <x v="58"/>
    <x v="8"/>
    <x v="8"/>
    <x v="8"/>
    <x v="8"/>
    <x v="4"/>
    <x v="283"/>
    <x v="350"/>
    <x v="59"/>
    <x v="557"/>
    <x v="130"/>
    <x v="207"/>
    <x v="2"/>
    <x v="14"/>
  </r>
  <r>
    <x v="58"/>
    <x v="0"/>
    <x v="0"/>
    <x v="4"/>
    <x v="58"/>
    <x v="58"/>
    <x v="0"/>
    <x v="0"/>
    <x v="0"/>
    <x v="0"/>
    <x v="4"/>
    <x v="283"/>
    <x v="350"/>
    <x v="59"/>
    <x v="557"/>
    <x v="130"/>
    <x v="207"/>
    <x v="2"/>
    <x v="14"/>
  </r>
  <r>
    <x v="58"/>
    <x v="0"/>
    <x v="0"/>
    <x v="4"/>
    <x v="58"/>
    <x v="58"/>
    <x v="16"/>
    <x v="16"/>
    <x v="16"/>
    <x v="16"/>
    <x v="6"/>
    <x v="284"/>
    <x v="278"/>
    <x v="111"/>
    <x v="225"/>
    <x v="81"/>
    <x v="386"/>
    <x v="2"/>
    <x v="14"/>
  </r>
  <r>
    <x v="58"/>
    <x v="0"/>
    <x v="0"/>
    <x v="4"/>
    <x v="58"/>
    <x v="58"/>
    <x v="34"/>
    <x v="34"/>
    <x v="34"/>
    <x v="34"/>
    <x v="6"/>
    <x v="284"/>
    <x v="278"/>
    <x v="55"/>
    <x v="211"/>
    <x v="130"/>
    <x v="207"/>
    <x v="2"/>
    <x v="14"/>
  </r>
  <r>
    <x v="58"/>
    <x v="0"/>
    <x v="0"/>
    <x v="4"/>
    <x v="58"/>
    <x v="58"/>
    <x v="6"/>
    <x v="6"/>
    <x v="6"/>
    <x v="6"/>
    <x v="6"/>
    <x v="284"/>
    <x v="278"/>
    <x v="55"/>
    <x v="211"/>
    <x v="130"/>
    <x v="207"/>
    <x v="2"/>
    <x v="14"/>
  </r>
  <r>
    <x v="58"/>
    <x v="0"/>
    <x v="0"/>
    <x v="4"/>
    <x v="58"/>
    <x v="58"/>
    <x v="69"/>
    <x v="69"/>
    <x v="69"/>
    <x v="69"/>
    <x v="9"/>
    <x v="287"/>
    <x v="153"/>
    <x v="85"/>
    <x v="87"/>
    <x v="45"/>
    <x v="387"/>
    <x v="2"/>
    <x v="14"/>
  </r>
  <r>
    <x v="58"/>
    <x v="0"/>
    <x v="0"/>
    <x v="4"/>
    <x v="58"/>
    <x v="58"/>
    <x v="13"/>
    <x v="13"/>
    <x v="13"/>
    <x v="13"/>
    <x v="9"/>
    <x v="287"/>
    <x v="153"/>
    <x v="111"/>
    <x v="225"/>
    <x v="71"/>
    <x v="27"/>
    <x v="2"/>
    <x v="14"/>
  </r>
  <r>
    <x v="58"/>
    <x v="0"/>
    <x v="0"/>
    <x v="4"/>
    <x v="58"/>
    <x v="58"/>
    <x v="57"/>
    <x v="57"/>
    <x v="57"/>
    <x v="57"/>
    <x v="9"/>
    <x v="287"/>
    <x v="153"/>
    <x v="53"/>
    <x v="558"/>
    <x v="126"/>
    <x v="129"/>
    <x v="2"/>
    <x v="14"/>
  </r>
  <r>
    <x v="58"/>
    <x v="0"/>
    <x v="0"/>
    <x v="4"/>
    <x v="58"/>
    <x v="58"/>
    <x v="63"/>
    <x v="63"/>
    <x v="63"/>
    <x v="63"/>
    <x v="9"/>
    <x v="287"/>
    <x v="153"/>
    <x v="111"/>
    <x v="225"/>
    <x v="71"/>
    <x v="27"/>
    <x v="2"/>
    <x v="14"/>
  </r>
  <r>
    <x v="58"/>
    <x v="0"/>
    <x v="0"/>
    <x v="4"/>
    <x v="58"/>
    <x v="58"/>
    <x v="10"/>
    <x v="10"/>
    <x v="10"/>
    <x v="10"/>
    <x v="9"/>
    <x v="287"/>
    <x v="153"/>
    <x v="78"/>
    <x v="341"/>
    <x v="131"/>
    <x v="320"/>
    <x v="2"/>
    <x v="14"/>
  </r>
  <r>
    <x v="58"/>
    <x v="0"/>
    <x v="0"/>
    <x v="4"/>
    <x v="58"/>
    <x v="58"/>
    <x v="22"/>
    <x v="22"/>
    <x v="22"/>
    <x v="22"/>
    <x v="9"/>
    <x v="287"/>
    <x v="153"/>
    <x v="78"/>
    <x v="341"/>
    <x v="131"/>
    <x v="320"/>
    <x v="2"/>
    <x v="14"/>
  </r>
  <r>
    <x v="58"/>
    <x v="0"/>
    <x v="0"/>
    <x v="4"/>
    <x v="58"/>
    <x v="58"/>
    <x v="14"/>
    <x v="14"/>
    <x v="14"/>
    <x v="14"/>
    <x v="9"/>
    <x v="287"/>
    <x v="153"/>
    <x v="111"/>
    <x v="225"/>
    <x v="71"/>
    <x v="27"/>
    <x v="2"/>
    <x v="14"/>
  </r>
  <r>
    <x v="58"/>
    <x v="0"/>
    <x v="0"/>
    <x v="4"/>
    <x v="58"/>
    <x v="58"/>
    <x v="45"/>
    <x v="45"/>
    <x v="45"/>
    <x v="45"/>
    <x v="9"/>
    <x v="287"/>
    <x v="153"/>
    <x v="47"/>
    <x v="164"/>
    <x v="130"/>
    <x v="207"/>
    <x v="2"/>
    <x v="14"/>
  </r>
  <r>
    <x v="58"/>
    <x v="0"/>
    <x v="0"/>
    <x v="4"/>
    <x v="58"/>
    <x v="58"/>
    <x v="70"/>
    <x v="70"/>
    <x v="70"/>
    <x v="70"/>
    <x v="9"/>
    <x v="287"/>
    <x v="153"/>
    <x v="78"/>
    <x v="341"/>
    <x v="131"/>
    <x v="320"/>
    <x v="2"/>
    <x v="14"/>
  </r>
  <r>
    <x v="58"/>
    <x v="0"/>
    <x v="0"/>
    <x v="4"/>
    <x v="58"/>
    <x v="58"/>
    <x v="36"/>
    <x v="36"/>
    <x v="36"/>
    <x v="36"/>
    <x v="18"/>
    <x v="288"/>
    <x v="34"/>
    <x v="85"/>
    <x v="87"/>
    <x v="71"/>
    <x v="27"/>
    <x v="2"/>
    <x v="14"/>
  </r>
  <r>
    <x v="58"/>
    <x v="0"/>
    <x v="0"/>
    <x v="4"/>
    <x v="58"/>
    <x v="58"/>
    <x v="71"/>
    <x v="71"/>
    <x v="71"/>
    <x v="71"/>
    <x v="18"/>
    <x v="288"/>
    <x v="34"/>
    <x v="111"/>
    <x v="225"/>
    <x v="126"/>
    <x v="129"/>
    <x v="2"/>
    <x v="14"/>
  </r>
  <r>
    <x v="58"/>
    <x v="0"/>
    <x v="0"/>
    <x v="4"/>
    <x v="58"/>
    <x v="58"/>
    <x v="9"/>
    <x v="9"/>
    <x v="9"/>
    <x v="9"/>
    <x v="18"/>
    <x v="288"/>
    <x v="34"/>
    <x v="111"/>
    <x v="225"/>
    <x v="126"/>
    <x v="129"/>
    <x v="2"/>
    <x v="14"/>
  </r>
  <r>
    <x v="58"/>
    <x v="0"/>
    <x v="0"/>
    <x v="4"/>
    <x v="58"/>
    <x v="58"/>
    <x v="7"/>
    <x v="7"/>
    <x v="7"/>
    <x v="7"/>
    <x v="18"/>
    <x v="288"/>
    <x v="34"/>
    <x v="78"/>
    <x v="341"/>
    <x v="130"/>
    <x v="207"/>
    <x v="2"/>
    <x v="14"/>
  </r>
  <r>
    <x v="58"/>
    <x v="0"/>
    <x v="0"/>
    <x v="4"/>
    <x v="58"/>
    <x v="58"/>
    <x v="12"/>
    <x v="12"/>
    <x v="12"/>
    <x v="12"/>
    <x v="18"/>
    <x v="288"/>
    <x v="34"/>
    <x v="78"/>
    <x v="341"/>
    <x v="130"/>
    <x v="207"/>
    <x v="2"/>
    <x v="14"/>
  </r>
  <r>
    <x v="58"/>
    <x v="0"/>
    <x v="0"/>
    <x v="4"/>
    <x v="58"/>
    <x v="58"/>
    <x v="49"/>
    <x v="49"/>
    <x v="49"/>
    <x v="49"/>
    <x v="18"/>
    <x v="288"/>
    <x v="34"/>
    <x v="85"/>
    <x v="87"/>
    <x v="71"/>
    <x v="27"/>
    <x v="2"/>
    <x v="14"/>
  </r>
  <r>
    <x v="59"/>
    <x v="0"/>
    <x v="0"/>
    <x v="4"/>
    <x v="59"/>
    <x v="59"/>
    <x v="0"/>
    <x v="0"/>
    <x v="0"/>
    <x v="0"/>
    <x v="0"/>
    <x v="177"/>
    <x v="351"/>
    <x v="137"/>
    <x v="256"/>
    <x v="111"/>
    <x v="175"/>
    <x v="2"/>
    <x v="14"/>
  </r>
  <r>
    <x v="59"/>
    <x v="0"/>
    <x v="0"/>
    <x v="4"/>
    <x v="59"/>
    <x v="59"/>
    <x v="1"/>
    <x v="1"/>
    <x v="1"/>
    <x v="1"/>
    <x v="1"/>
    <x v="88"/>
    <x v="81"/>
    <x v="124"/>
    <x v="559"/>
    <x v="100"/>
    <x v="240"/>
    <x v="2"/>
    <x v="14"/>
  </r>
  <r>
    <x v="59"/>
    <x v="0"/>
    <x v="0"/>
    <x v="4"/>
    <x v="59"/>
    <x v="59"/>
    <x v="7"/>
    <x v="7"/>
    <x v="7"/>
    <x v="7"/>
    <x v="2"/>
    <x v="160"/>
    <x v="352"/>
    <x v="124"/>
    <x v="559"/>
    <x v="130"/>
    <x v="207"/>
    <x v="2"/>
    <x v="14"/>
  </r>
  <r>
    <x v="59"/>
    <x v="0"/>
    <x v="0"/>
    <x v="4"/>
    <x v="59"/>
    <x v="59"/>
    <x v="3"/>
    <x v="3"/>
    <x v="3"/>
    <x v="3"/>
    <x v="3"/>
    <x v="133"/>
    <x v="353"/>
    <x v="79"/>
    <x v="560"/>
    <x v="68"/>
    <x v="19"/>
    <x v="2"/>
    <x v="14"/>
  </r>
  <r>
    <x v="59"/>
    <x v="0"/>
    <x v="0"/>
    <x v="4"/>
    <x v="59"/>
    <x v="59"/>
    <x v="50"/>
    <x v="50"/>
    <x v="50"/>
    <x v="50"/>
    <x v="4"/>
    <x v="166"/>
    <x v="312"/>
    <x v="56"/>
    <x v="561"/>
    <x v="81"/>
    <x v="388"/>
    <x v="2"/>
    <x v="14"/>
  </r>
  <r>
    <x v="59"/>
    <x v="0"/>
    <x v="0"/>
    <x v="4"/>
    <x v="59"/>
    <x v="59"/>
    <x v="27"/>
    <x v="27"/>
    <x v="27"/>
    <x v="27"/>
    <x v="5"/>
    <x v="167"/>
    <x v="74"/>
    <x v="56"/>
    <x v="561"/>
    <x v="68"/>
    <x v="19"/>
    <x v="2"/>
    <x v="14"/>
  </r>
  <r>
    <x v="59"/>
    <x v="0"/>
    <x v="0"/>
    <x v="4"/>
    <x v="59"/>
    <x v="59"/>
    <x v="6"/>
    <x v="6"/>
    <x v="6"/>
    <x v="6"/>
    <x v="5"/>
    <x v="167"/>
    <x v="74"/>
    <x v="146"/>
    <x v="291"/>
    <x v="130"/>
    <x v="207"/>
    <x v="2"/>
    <x v="14"/>
  </r>
  <r>
    <x v="59"/>
    <x v="0"/>
    <x v="0"/>
    <x v="4"/>
    <x v="59"/>
    <x v="59"/>
    <x v="2"/>
    <x v="2"/>
    <x v="2"/>
    <x v="2"/>
    <x v="7"/>
    <x v="168"/>
    <x v="319"/>
    <x v="117"/>
    <x v="562"/>
    <x v="126"/>
    <x v="2"/>
    <x v="2"/>
    <x v="14"/>
  </r>
  <r>
    <x v="59"/>
    <x v="0"/>
    <x v="0"/>
    <x v="4"/>
    <x v="59"/>
    <x v="59"/>
    <x v="5"/>
    <x v="5"/>
    <x v="5"/>
    <x v="5"/>
    <x v="8"/>
    <x v="170"/>
    <x v="194"/>
    <x v="117"/>
    <x v="562"/>
    <x v="130"/>
    <x v="207"/>
    <x v="2"/>
    <x v="14"/>
  </r>
  <r>
    <x v="59"/>
    <x v="0"/>
    <x v="0"/>
    <x v="4"/>
    <x v="59"/>
    <x v="59"/>
    <x v="10"/>
    <x v="10"/>
    <x v="10"/>
    <x v="10"/>
    <x v="9"/>
    <x v="269"/>
    <x v="150"/>
    <x v="67"/>
    <x v="412"/>
    <x v="68"/>
    <x v="19"/>
    <x v="2"/>
    <x v="14"/>
  </r>
  <r>
    <x v="59"/>
    <x v="0"/>
    <x v="0"/>
    <x v="4"/>
    <x v="59"/>
    <x v="59"/>
    <x v="8"/>
    <x v="8"/>
    <x v="8"/>
    <x v="8"/>
    <x v="9"/>
    <x v="269"/>
    <x v="150"/>
    <x v="84"/>
    <x v="415"/>
    <x v="113"/>
    <x v="288"/>
    <x v="2"/>
    <x v="14"/>
  </r>
  <r>
    <x v="59"/>
    <x v="0"/>
    <x v="0"/>
    <x v="4"/>
    <x v="59"/>
    <x v="59"/>
    <x v="18"/>
    <x v="18"/>
    <x v="18"/>
    <x v="18"/>
    <x v="11"/>
    <x v="171"/>
    <x v="188"/>
    <x v="67"/>
    <x v="412"/>
    <x v="71"/>
    <x v="353"/>
    <x v="2"/>
    <x v="14"/>
  </r>
  <r>
    <x v="59"/>
    <x v="0"/>
    <x v="0"/>
    <x v="4"/>
    <x v="59"/>
    <x v="59"/>
    <x v="31"/>
    <x v="31"/>
    <x v="31"/>
    <x v="31"/>
    <x v="11"/>
    <x v="171"/>
    <x v="188"/>
    <x v="67"/>
    <x v="412"/>
    <x v="71"/>
    <x v="353"/>
    <x v="2"/>
    <x v="14"/>
  </r>
  <r>
    <x v="59"/>
    <x v="0"/>
    <x v="0"/>
    <x v="4"/>
    <x v="59"/>
    <x v="59"/>
    <x v="16"/>
    <x v="16"/>
    <x v="16"/>
    <x v="16"/>
    <x v="13"/>
    <x v="271"/>
    <x v="154"/>
    <x v="111"/>
    <x v="65"/>
    <x v="101"/>
    <x v="389"/>
    <x v="2"/>
    <x v="14"/>
  </r>
  <r>
    <x v="59"/>
    <x v="0"/>
    <x v="0"/>
    <x v="4"/>
    <x v="59"/>
    <x v="59"/>
    <x v="15"/>
    <x v="15"/>
    <x v="15"/>
    <x v="15"/>
    <x v="13"/>
    <x v="271"/>
    <x v="154"/>
    <x v="57"/>
    <x v="563"/>
    <x v="107"/>
    <x v="101"/>
    <x v="2"/>
    <x v="14"/>
  </r>
  <r>
    <x v="59"/>
    <x v="0"/>
    <x v="0"/>
    <x v="4"/>
    <x v="59"/>
    <x v="59"/>
    <x v="13"/>
    <x v="13"/>
    <x v="13"/>
    <x v="13"/>
    <x v="15"/>
    <x v="279"/>
    <x v="9"/>
    <x v="57"/>
    <x v="563"/>
    <x v="113"/>
    <x v="288"/>
    <x v="2"/>
    <x v="14"/>
  </r>
  <r>
    <x v="59"/>
    <x v="0"/>
    <x v="0"/>
    <x v="4"/>
    <x v="59"/>
    <x v="59"/>
    <x v="14"/>
    <x v="14"/>
    <x v="14"/>
    <x v="14"/>
    <x v="16"/>
    <x v="277"/>
    <x v="182"/>
    <x v="111"/>
    <x v="65"/>
    <x v="63"/>
    <x v="390"/>
    <x v="2"/>
    <x v="14"/>
  </r>
  <r>
    <x v="59"/>
    <x v="0"/>
    <x v="0"/>
    <x v="4"/>
    <x v="59"/>
    <x v="59"/>
    <x v="45"/>
    <x v="45"/>
    <x v="45"/>
    <x v="45"/>
    <x v="16"/>
    <x v="277"/>
    <x v="182"/>
    <x v="51"/>
    <x v="564"/>
    <x v="126"/>
    <x v="2"/>
    <x v="2"/>
    <x v="14"/>
  </r>
  <r>
    <x v="59"/>
    <x v="0"/>
    <x v="0"/>
    <x v="4"/>
    <x v="59"/>
    <x v="59"/>
    <x v="22"/>
    <x v="22"/>
    <x v="22"/>
    <x v="22"/>
    <x v="18"/>
    <x v="278"/>
    <x v="167"/>
    <x v="54"/>
    <x v="95"/>
    <x v="81"/>
    <x v="388"/>
    <x v="2"/>
    <x v="14"/>
  </r>
  <r>
    <x v="59"/>
    <x v="0"/>
    <x v="0"/>
    <x v="4"/>
    <x v="59"/>
    <x v="59"/>
    <x v="17"/>
    <x v="17"/>
    <x v="17"/>
    <x v="17"/>
    <x v="19"/>
    <x v="280"/>
    <x v="247"/>
    <x v="78"/>
    <x v="443"/>
    <x v="106"/>
    <x v="391"/>
    <x v="2"/>
    <x v="14"/>
  </r>
  <r>
    <x v="59"/>
    <x v="0"/>
    <x v="0"/>
    <x v="4"/>
    <x v="59"/>
    <x v="59"/>
    <x v="36"/>
    <x v="36"/>
    <x v="36"/>
    <x v="36"/>
    <x v="19"/>
    <x v="280"/>
    <x v="247"/>
    <x v="57"/>
    <x v="563"/>
    <x v="81"/>
    <x v="388"/>
    <x v="2"/>
    <x v="14"/>
  </r>
  <r>
    <x v="59"/>
    <x v="0"/>
    <x v="0"/>
    <x v="4"/>
    <x v="59"/>
    <x v="59"/>
    <x v="12"/>
    <x v="12"/>
    <x v="12"/>
    <x v="12"/>
    <x v="19"/>
    <x v="280"/>
    <x v="247"/>
    <x v="96"/>
    <x v="193"/>
    <x v="131"/>
    <x v="7"/>
    <x v="2"/>
    <x v="14"/>
  </r>
  <r>
    <x v="60"/>
    <x v="0"/>
    <x v="0"/>
    <x v="4"/>
    <x v="60"/>
    <x v="60"/>
    <x v="0"/>
    <x v="0"/>
    <x v="0"/>
    <x v="0"/>
    <x v="0"/>
    <x v="138"/>
    <x v="120"/>
    <x v="146"/>
    <x v="243"/>
    <x v="111"/>
    <x v="159"/>
    <x v="2"/>
    <x v="14"/>
  </r>
  <r>
    <x v="60"/>
    <x v="0"/>
    <x v="0"/>
    <x v="4"/>
    <x v="60"/>
    <x v="60"/>
    <x v="2"/>
    <x v="2"/>
    <x v="2"/>
    <x v="2"/>
    <x v="0"/>
    <x v="138"/>
    <x v="120"/>
    <x v="125"/>
    <x v="565"/>
    <x v="126"/>
    <x v="98"/>
    <x v="2"/>
    <x v="14"/>
  </r>
  <r>
    <x v="60"/>
    <x v="0"/>
    <x v="0"/>
    <x v="4"/>
    <x v="60"/>
    <x v="60"/>
    <x v="1"/>
    <x v="1"/>
    <x v="1"/>
    <x v="1"/>
    <x v="0"/>
    <x v="138"/>
    <x v="120"/>
    <x v="125"/>
    <x v="565"/>
    <x v="126"/>
    <x v="98"/>
    <x v="2"/>
    <x v="14"/>
  </r>
  <r>
    <x v="60"/>
    <x v="0"/>
    <x v="0"/>
    <x v="4"/>
    <x v="60"/>
    <x v="60"/>
    <x v="16"/>
    <x v="16"/>
    <x v="16"/>
    <x v="16"/>
    <x v="3"/>
    <x v="134"/>
    <x v="253"/>
    <x v="54"/>
    <x v="566"/>
    <x v="112"/>
    <x v="392"/>
    <x v="2"/>
    <x v="14"/>
  </r>
  <r>
    <x v="60"/>
    <x v="0"/>
    <x v="0"/>
    <x v="4"/>
    <x v="60"/>
    <x v="60"/>
    <x v="36"/>
    <x v="36"/>
    <x v="36"/>
    <x v="36"/>
    <x v="4"/>
    <x v="164"/>
    <x v="240"/>
    <x v="126"/>
    <x v="50"/>
    <x v="44"/>
    <x v="247"/>
    <x v="2"/>
    <x v="14"/>
  </r>
  <r>
    <x v="60"/>
    <x v="0"/>
    <x v="0"/>
    <x v="4"/>
    <x v="60"/>
    <x v="60"/>
    <x v="15"/>
    <x v="15"/>
    <x v="15"/>
    <x v="15"/>
    <x v="4"/>
    <x v="164"/>
    <x v="240"/>
    <x v="111"/>
    <x v="172"/>
    <x v="48"/>
    <x v="352"/>
    <x v="2"/>
    <x v="14"/>
  </r>
  <r>
    <x v="60"/>
    <x v="0"/>
    <x v="0"/>
    <x v="4"/>
    <x v="60"/>
    <x v="60"/>
    <x v="6"/>
    <x v="6"/>
    <x v="6"/>
    <x v="6"/>
    <x v="6"/>
    <x v="268"/>
    <x v="161"/>
    <x v="130"/>
    <x v="567"/>
    <x v="131"/>
    <x v="62"/>
    <x v="2"/>
    <x v="14"/>
  </r>
  <r>
    <x v="60"/>
    <x v="0"/>
    <x v="0"/>
    <x v="4"/>
    <x v="60"/>
    <x v="60"/>
    <x v="3"/>
    <x v="3"/>
    <x v="3"/>
    <x v="3"/>
    <x v="7"/>
    <x v="165"/>
    <x v="24"/>
    <x v="146"/>
    <x v="243"/>
    <x v="126"/>
    <x v="98"/>
    <x v="2"/>
    <x v="14"/>
  </r>
  <r>
    <x v="60"/>
    <x v="0"/>
    <x v="0"/>
    <x v="4"/>
    <x v="60"/>
    <x v="60"/>
    <x v="72"/>
    <x v="72"/>
    <x v="72"/>
    <x v="72"/>
    <x v="8"/>
    <x v="166"/>
    <x v="162"/>
    <x v="56"/>
    <x v="229"/>
    <x v="81"/>
    <x v="262"/>
    <x v="2"/>
    <x v="14"/>
  </r>
  <r>
    <x v="60"/>
    <x v="0"/>
    <x v="0"/>
    <x v="4"/>
    <x v="60"/>
    <x v="60"/>
    <x v="19"/>
    <x v="19"/>
    <x v="19"/>
    <x v="19"/>
    <x v="8"/>
    <x v="166"/>
    <x v="162"/>
    <x v="51"/>
    <x v="331"/>
    <x v="63"/>
    <x v="305"/>
    <x v="2"/>
    <x v="14"/>
  </r>
  <r>
    <x v="60"/>
    <x v="0"/>
    <x v="0"/>
    <x v="4"/>
    <x v="60"/>
    <x v="60"/>
    <x v="17"/>
    <x v="17"/>
    <x v="17"/>
    <x v="17"/>
    <x v="10"/>
    <x v="168"/>
    <x v="245"/>
    <x v="54"/>
    <x v="566"/>
    <x v="44"/>
    <x v="247"/>
    <x v="2"/>
    <x v="14"/>
  </r>
  <r>
    <x v="60"/>
    <x v="0"/>
    <x v="0"/>
    <x v="4"/>
    <x v="60"/>
    <x v="60"/>
    <x v="13"/>
    <x v="13"/>
    <x v="13"/>
    <x v="13"/>
    <x v="11"/>
    <x v="169"/>
    <x v="180"/>
    <x v="57"/>
    <x v="162"/>
    <x v="44"/>
    <x v="247"/>
    <x v="2"/>
    <x v="14"/>
  </r>
  <r>
    <x v="60"/>
    <x v="0"/>
    <x v="0"/>
    <x v="4"/>
    <x v="60"/>
    <x v="60"/>
    <x v="42"/>
    <x v="42"/>
    <x v="42"/>
    <x v="42"/>
    <x v="12"/>
    <x v="170"/>
    <x v="188"/>
    <x v="58"/>
    <x v="300"/>
    <x v="68"/>
    <x v="292"/>
    <x v="2"/>
    <x v="14"/>
  </r>
  <r>
    <x v="60"/>
    <x v="0"/>
    <x v="0"/>
    <x v="4"/>
    <x v="60"/>
    <x v="60"/>
    <x v="8"/>
    <x v="8"/>
    <x v="8"/>
    <x v="8"/>
    <x v="12"/>
    <x v="170"/>
    <x v="188"/>
    <x v="96"/>
    <x v="568"/>
    <x v="113"/>
    <x v="259"/>
    <x v="2"/>
    <x v="14"/>
  </r>
  <r>
    <x v="60"/>
    <x v="0"/>
    <x v="0"/>
    <x v="4"/>
    <x v="60"/>
    <x v="60"/>
    <x v="4"/>
    <x v="4"/>
    <x v="4"/>
    <x v="4"/>
    <x v="12"/>
    <x v="170"/>
    <x v="188"/>
    <x v="58"/>
    <x v="300"/>
    <x v="68"/>
    <x v="292"/>
    <x v="2"/>
    <x v="14"/>
  </r>
  <r>
    <x v="60"/>
    <x v="0"/>
    <x v="0"/>
    <x v="4"/>
    <x v="60"/>
    <x v="60"/>
    <x v="38"/>
    <x v="38"/>
    <x v="38"/>
    <x v="38"/>
    <x v="15"/>
    <x v="269"/>
    <x v="225"/>
    <x v="47"/>
    <x v="325"/>
    <x v="101"/>
    <x v="28"/>
    <x v="2"/>
    <x v="14"/>
  </r>
  <r>
    <x v="60"/>
    <x v="0"/>
    <x v="0"/>
    <x v="4"/>
    <x v="60"/>
    <x v="60"/>
    <x v="7"/>
    <x v="7"/>
    <x v="7"/>
    <x v="7"/>
    <x v="15"/>
    <x v="269"/>
    <x v="225"/>
    <x v="108"/>
    <x v="569"/>
    <x v="126"/>
    <x v="98"/>
    <x v="2"/>
    <x v="14"/>
  </r>
  <r>
    <x v="60"/>
    <x v="0"/>
    <x v="0"/>
    <x v="4"/>
    <x v="60"/>
    <x v="60"/>
    <x v="11"/>
    <x v="11"/>
    <x v="11"/>
    <x v="11"/>
    <x v="17"/>
    <x v="171"/>
    <x v="283"/>
    <x v="78"/>
    <x v="66"/>
    <x v="77"/>
    <x v="222"/>
    <x v="2"/>
    <x v="14"/>
  </r>
  <r>
    <x v="60"/>
    <x v="0"/>
    <x v="0"/>
    <x v="4"/>
    <x v="60"/>
    <x v="60"/>
    <x v="41"/>
    <x v="41"/>
    <x v="41"/>
    <x v="41"/>
    <x v="17"/>
    <x v="171"/>
    <x v="283"/>
    <x v="59"/>
    <x v="570"/>
    <x v="106"/>
    <x v="49"/>
    <x v="2"/>
    <x v="14"/>
  </r>
  <r>
    <x v="60"/>
    <x v="0"/>
    <x v="0"/>
    <x v="4"/>
    <x v="60"/>
    <x v="60"/>
    <x v="10"/>
    <x v="10"/>
    <x v="10"/>
    <x v="10"/>
    <x v="19"/>
    <x v="271"/>
    <x v="124"/>
    <x v="84"/>
    <x v="539"/>
    <x v="81"/>
    <x v="262"/>
    <x v="2"/>
    <x v="14"/>
  </r>
  <r>
    <x v="61"/>
    <x v="0"/>
    <x v="0"/>
    <x v="4"/>
    <x v="61"/>
    <x v="61"/>
    <x v="8"/>
    <x v="8"/>
    <x v="8"/>
    <x v="8"/>
    <x v="0"/>
    <x v="286"/>
    <x v="117"/>
    <x v="78"/>
    <x v="571"/>
    <x v="126"/>
    <x v="393"/>
    <x v="2"/>
    <x v="2"/>
  </r>
  <r>
    <x v="61"/>
    <x v="0"/>
    <x v="0"/>
    <x v="4"/>
    <x v="61"/>
    <x v="61"/>
    <x v="45"/>
    <x v="45"/>
    <x v="45"/>
    <x v="45"/>
    <x v="0"/>
    <x v="286"/>
    <x v="117"/>
    <x v="47"/>
    <x v="572"/>
    <x v="131"/>
    <x v="394"/>
    <x v="2"/>
    <x v="2"/>
  </r>
  <r>
    <x v="61"/>
    <x v="0"/>
    <x v="0"/>
    <x v="4"/>
    <x v="61"/>
    <x v="61"/>
    <x v="36"/>
    <x v="36"/>
    <x v="36"/>
    <x v="36"/>
    <x v="2"/>
    <x v="287"/>
    <x v="354"/>
    <x v="111"/>
    <x v="573"/>
    <x v="71"/>
    <x v="395"/>
    <x v="2"/>
    <x v="2"/>
  </r>
  <r>
    <x v="61"/>
    <x v="0"/>
    <x v="0"/>
    <x v="4"/>
    <x v="61"/>
    <x v="61"/>
    <x v="31"/>
    <x v="31"/>
    <x v="31"/>
    <x v="31"/>
    <x v="2"/>
    <x v="287"/>
    <x v="354"/>
    <x v="78"/>
    <x v="571"/>
    <x v="131"/>
    <x v="394"/>
    <x v="2"/>
    <x v="2"/>
  </r>
  <r>
    <x v="61"/>
    <x v="0"/>
    <x v="0"/>
    <x v="4"/>
    <x v="61"/>
    <x v="61"/>
    <x v="4"/>
    <x v="4"/>
    <x v="4"/>
    <x v="4"/>
    <x v="2"/>
    <x v="287"/>
    <x v="354"/>
    <x v="78"/>
    <x v="571"/>
    <x v="131"/>
    <x v="394"/>
    <x v="2"/>
    <x v="2"/>
  </r>
  <r>
    <x v="61"/>
    <x v="0"/>
    <x v="0"/>
    <x v="4"/>
    <x v="61"/>
    <x v="61"/>
    <x v="16"/>
    <x v="16"/>
    <x v="16"/>
    <x v="16"/>
    <x v="5"/>
    <x v="288"/>
    <x v="355"/>
    <x v="85"/>
    <x v="87"/>
    <x v="71"/>
    <x v="395"/>
    <x v="2"/>
    <x v="2"/>
  </r>
  <r>
    <x v="61"/>
    <x v="0"/>
    <x v="0"/>
    <x v="4"/>
    <x v="61"/>
    <x v="61"/>
    <x v="17"/>
    <x v="17"/>
    <x v="17"/>
    <x v="17"/>
    <x v="5"/>
    <x v="288"/>
    <x v="355"/>
    <x v="111"/>
    <x v="573"/>
    <x v="126"/>
    <x v="393"/>
    <x v="2"/>
    <x v="2"/>
  </r>
  <r>
    <x v="61"/>
    <x v="0"/>
    <x v="0"/>
    <x v="4"/>
    <x v="61"/>
    <x v="61"/>
    <x v="15"/>
    <x v="15"/>
    <x v="15"/>
    <x v="15"/>
    <x v="5"/>
    <x v="288"/>
    <x v="355"/>
    <x v="85"/>
    <x v="87"/>
    <x v="71"/>
    <x v="395"/>
    <x v="2"/>
    <x v="2"/>
  </r>
  <r>
    <x v="61"/>
    <x v="0"/>
    <x v="0"/>
    <x v="4"/>
    <x v="61"/>
    <x v="61"/>
    <x v="73"/>
    <x v="73"/>
    <x v="73"/>
    <x v="73"/>
    <x v="5"/>
    <x v="288"/>
    <x v="355"/>
    <x v="78"/>
    <x v="571"/>
    <x v="130"/>
    <x v="207"/>
    <x v="2"/>
    <x v="2"/>
  </r>
  <r>
    <x v="61"/>
    <x v="0"/>
    <x v="0"/>
    <x v="4"/>
    <x v="61"/>
    <x v="61"/>
    <x v="42"/>
    <x v="42"/>
    <x v="42"/>
    <x v="42"/>
    <x v="9"/>
    <x v="289"/>
    <x v="61"/>
    <x v="111"/>
    <x v="573"/>
    <x v="131"/>
    <x v="394"/>
    <x v="2"/>
    <x v="2"/>
  </r>
  <r>
    <x v="61"/>
    <x v="0"/>
    <x v="0"/>
    <x v="4"/>
    <x v="61"/>
    <x v="61"/>
    <x v="27"/>
    <x v="27"/>
    <x v="27"/>
    <x v="27"/>
    <x v="9"/>
    <x v="289"/>
    <x v="61"/>
    <x v="53"/>
    <x v="177"/>
    <x v="130"/>
    <x v="207"/>
    <x v="2"/>
    <x v="2"/>
  </r>
  <r>
    <x v="61"/>
    <x v="0"/>
    <x v="0"/>
    <x v="4"/>
    <x v="61"/>
    <x v="61"/>
    <x v="53"/>
    <x v="53"/>
    <x v="53"/>
    <x v="53"/>
    <x v="9"/>
    <x v="289"/>
    <x v="61"/>
    <x v="111"/>
    <x v="573"/>
    <x v="131"/>
    <x v="394"/>
    <x v="2"/>
    <x v="2"/>
  </r>
  <r>
    <x v="61"/>
    <x v="0"/>
    <x v="0"/>
    <x v="4"/>
    <x v="61"/>
    <x v="61"/>
    <x v="0"/>
    <x v="0"/>
    <x v="0"/>
    <x v="0"/>
    <x v="9"/>
    <x v="289"/>
    <x v="61"/>
    <x v="85"/>
    <x v="87"/>
    <x v="126"/>
    <x v="393"/>
    <x v="2"/>
    <x v="2"/>
  </r>
  <r>
    <x v="61"/>
    <x v="0"/>
    <x v="0"/>
    <x v="4"/>
    <x v="61"/>
    <x v="61"/>
    <x v="66"/>
    <x v="66"/>
    <x v="66"/>
    <x v="66"/>
    <x v="9"/>
    <x v="289"/>
    <x v="61"/>
    <x v="53"/>
    <x v="177"/>
    <x v="130"/>
    <x v="207"/>
    <x v="2"/>
    <x v="2"/>
  </r>
  <r>
    <x v="61"/>
    <x v="0"/>
    <x v="0"/>
    <x v="4"/>
    <x v="61"/>
    <x v="61"/>
    <x v="3"/>
    <x v="3"/>
    <x v="3"/>
    <x v="3"/>
    <x v="9"/>
    <x v="289"/>
    <x v="61"/>
    <x v="111"/>
    <x v="573"/>
    <x v="131"/>
    <x v="394"/>
    <x v="2"/>
    <x v="2"/>
  </r>
  <r>
    <x v="61"/>
    <x v="0"/>
    <x v="0"/>
    <x v="4"/>
    <x v="61"/>
    <x v="61"/>
    <x v="12"/>
    <x v="12"/>
    <x v="12"/>
    <x v="12"/>
    <x v="9"/>
    <x v="289"/>
    <x v="61"/>
    <x v="111"/>
    <x v="573"/>
    <x v="131"/>
    <x v="394"/>
    <x v="2"/>
    <x v="2"/>
  </r>
  <r>
    <x v="61"/>
    <x v="0"/>
    <x v="0"/>
    <x v="4"/>
    <x v="61"/>
    <x v="61"/>
    <x v="49"/>
    <x v="49"/>
    <x v="49"/>
    <x v="49"/>
    <x v="9"/>
    <x v="289"/>
    <x v="61"/>
    <x v="111"/>
    <x v="573"/>
    <x v="131"/>
    <x v="394"/>
    <x v="2"/>
    <x v="2"/>
  </r>
  <r>
    <x v="61"/>
    <x v="0"/>
    <x v="0"/>
    <x v="4"/>
    <x v="61"/>
    <x v="61"/>
    <x v="5"/>
    <x v="5"/>
    <x v="5"/>
    <x v="5"/>
    <x v="9"/>
    <x v="289"/>
    <x v="61"/>
    <x v="53"/>
    <x v="177"/>
    <x v="130"/>
    <x v="207"/>
    <x v="2"/>
    <x v="2"/>
  </r>
  <r>
    <x v="61"/>
    <x v="0"/>
    <x v="0"/>
    <x v="4"/>
    <x v="61"/>
    <x v="61"/>
    <x v="74"/>
    <x v="74"/>
    <x v="74"/>
    <x v="74"/>
    <x v="9"/>
    <x v="289"/>
    <x v="61"/>
    <x v="53"/>
    <x v="177"/>
    <x v="130"/>
    <x v="207"/>
    <x v="2"/>
    <x v="2"/>
  </r>
  <r>
    <x v="61"/>
    <x v="0"/>
    <x v="0"/>
    <x v="4"/>
    <x v="61"/>
    <x v="61"/>
    <x v="41"/>
    <x v="41"/>
    <x v="41"/>
    <x v="41"/>
    <x v="9"/>
    <x v="289"/>
    <x v="61"/>
    <x v="111"/>
    <x v="573"/>
    <x v="131"/>
    <x v="394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23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993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99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923">
      <pivotArea field="5" type="button" dataOnly="0" labelOnly="1" outline="0" axis="axisRow" fieldPosition="0"/>
    </format>
    <format dxfId="922">
      <pivotArea outline="0" fieldPosition="0">
        <references count="1">
          <reference field="4294967294" count="1">
            <x v="0"/>
          </reference>
        </references>
      </pivotArea>
    </format>
    <format dxfId="921">
      <pivotArea outline="0" fieldPosition="0">
        <references count="1">
          <reference field="4294967294" count="1">
            <x v="1"/>
          </reference>
        </references>
      </pivotArea>
    </format>
    <format dxfId="920">
      <pivotArea outline="0" fieldPosition="0">
        <references count="1">
          <reference field="4294967294" count="1">
            <x v="2"/>
          </reference>
        </references>
      </pivotArea>
    </format>
    <format dxfId="919">
      <pivotArea outline="0" fieldPosition="0">
        <references count="1">
          <reference field="4294967294" count="1">
            <x v="3"/>
          </reference>
        </references>
      </pivotArea>
    </format>
    <format dxfId="918">
      <pivotArea outline="0" fieldPosition="0">
        <references count="1">
          <reference field="4294967294" count="1">
            <x v="4"/>
          </reference>
        </references>
      </pivotArea>
    </format>
    <format dxfId="917">
      <pivotArea outline="0" fieldPosition="0">
        <references count="1">
          <reference field="4294967294" count="1">
            <x v="5"/>
          </reference>
        </references>
      </pivotArea>
    </format>
    <format dxfId="916">
      <pivotArea outline="0" fieldPosition="0">
        <references count="1">
          <reference field="4294967294" count="1">
            <x v="6"/>
          </reference>
        </references>
      </pivotArea>
    </format>
    <format dxfId="915">
      <pivotArea field="5" type="button" dataOnly="0" labelOnly="1" outline="0" axis="axisRow" fieldPosition="0"/>
    </format>
    <format dxfId="9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3">
      <pivotArea field="5" type="button" dataOnly="0" labelOnly="1" outline="0" axis="axisRow" fieldPosition="0"/>
    </format>
    <format dxfId="9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11">
      <pivotArea field="5" type="button" dataOnly="0" labelOnly="1" outline="0" axis="axisRow" fieldPosition="0"/>
    </format>
    <format dxfId="9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9">
      <pivotArea field="5" type="button" dataOnly="0" labelOnly="1" outline="0" axis="axisRow" fieldPosition="0"/>
    </format>
    <format dxfId="9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24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02" firstHeaderRow="0" firstDataRow="1" firstDataCol="2"/>
  <pivotFields count="19">
    <pivotField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62">
        <item x="60"/>
        <item x="61"/>
        <item x="47"/>
        <item x="43"/>
        <item x="32"/>
        <item x="1"/>
        <item x="13"/>
        <item x="8"/>
        <item x="16"/>
        <item x="9"/>
        <item x="11"/>
        <item x="12"/>
        <item x="10"/>
        <item x="3"/>
        <item x="15"/>
        <item x="4"/>
        <item x="18"/>
        <item x="17"/>
        <item x="5"/>
        <item x="2"/>
        <item x="19"/>
        <item x="6"/>
        <item x="7"/>
        <item x="14"/>
        <item x="44"/>
        <item x="34"/>
        <item x="37"/>
        <item x="41"/>
        <item x="49"/>
        <item x="45"/>
        <item x="48"/>
        <item x="39"/>
        <item x="36"/>
        <item x="0"/>
        <item x="40"/>
        <item x="38"/>
        <item x="20"/>
        <item x="26"/>
        <item x="22"/>
        <item x="24"/>
        <item x="21"/>
        <item x="25"/>
        <item x="23"/>
        <item x="27"/>
        <item x="28"/>
        <item x="30"/>
        <item x="31"/>
        <item x="29"/>
        <item x="58"/>
        <item x="59"/>
        <item x="57"/>
        <item x="56"/>
        <item x="55"/>
        <item x="54"/>
        <item x="53"/>
        <item x="52"/>
        <item x="42"/>
        <item x="50"/>
        <item x="51"/>
        <item x="35"/>
        <item x="46"/>
        <item x="33"/>
      </items>
    </pivotField>
    <pivotField axis="axisRow" showAll="0" insertBlankRow="1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51">
        <item x="46"/>
        <item x="4"/>
        <item x="5"/>
        <item x="8"/>
        <item x="36"/>
        <item x="48"/>
        <item x="42"/>
        <item x="43"/>
        <item x="27"/>
        <item x="38"/>
        <item x="45"/>
        <item x="15"/>
        <item x="39"/>
        <item x="19"/>
        <item x="34"/>
        <item x="35"/>
        <item x="37"/>
        <item x="47"/>
        <item x="24"/>
        <item x="30"/>
        <item x="40"/>
        <item x="25"/>
        <item x="22"/>
        <item x="21"/>
        <item x="16"/>
        <item x="20"/>
        <item x="11"/>
        <item x="6"/>
        <item x="12"/>
        <item x="3"/>
        <item x="33"/>
        <item x="29"/>
        <item x="14"/>
        <item x="0"/>
        <item x="44"/>
        <item x="10"/>
        <item x="13"/>
        <item x="26"/>
        <item x="1"/>
        <item x="41"/>
        <item x="2"/>
        <item x="17"/>
        <item x="31"/>
        <item x="9"/>
        <item x="7"/>
        <item x="23"/>
        <item x="49"/>
        <item x="32"/>
        <item x="28"/>
        <item x="50"/>
        <item x="18"/>
      </items>
    </pivotField>
    <pivotField showAll="0" defaultSubtotal="0">
      <items count="51">
        <item x="46"/>
        <item x="4"/>
        <item x="5"/>
        <item x="8"/>
        <item x="36"/>
        <item x="48"/>
        <item x="42"/>
        <item x="43"/>
        <item x="27"/>
        <item x="38"/>
        <item x="45"/>
        <item x="15"/>
        <item x="39"/>
        <item x="19"/>
        <item x="34"/>
        <item x="35"/>
        <item x="37"/>
        <item x="24"/>
        <item x="47"/>
        <item x="30"/>
        <item x="40"/>
        <item x="25"/>
        <item x="22"/>
        <item x="21"/>
        <item x="16"/>
        <item x="20"/>
        <item x="11"/>
        <item x="6"/>
        <item x="12"/>
        <item x="3"/>
        <item x="33"/>
        <item x="29"/>
        <item x="14"/>
        <item x="0"/>
        <item x="44"/>
        <item x="10"/>
        <item x="13"/>
        <item x="26"/>
        <item x="1"/>
        <item x="41"/>
        <item x="2"/>
        <item x="17"/>
        <item x="31"/>
        <item x="9"/>
        <item x="7"/>
        <item x="23"/>
        <item x="49"/>
        <item x="32"/>
        <item x="28"/>
        <item x="50"/>
        <item x="18"/>
      </items>
    </pivotField>
    <pivotField showAll="0" defaultSubtotal="0">
      <items count="51">
        <item x="20"/>
        <item x="9"/>
        <item x="18"/>
        <item x="3"/>
        <item x="17"/>
        <item x="37"/>
        <item x="39"/>
        <item x="38"/>
        <item x="7"/>
        <item x="27"/>
        <item x="1"/>
        <item x="22"/>
        <item x="6"/>
        <item x="25"/>
        <item x="47"/>
        <item x="43"/>
        <item x="16"/>
        <item x="12"/>
        <item x="28"/>
        <item x="13"/>
        <item x="15"/>
        <item x="21"/>
        <item x="31"/>
        <item x="46"/>
        <item x="41"/>
        <item x="32"/>
        <item x="23"/>
        <item x="26"/>
        <item x="24"/>
        <item x="11"/>
        <item x="50"/>
        <item x="5"/>
        <item x="36"/>
        <item x="19"/>
        <item x="8"/>
        <item x="10"/>
        <item x="2"/>
        <item x="48"/>
        <item x="4"/>
        <item x="34"/>
        <item x="40"/>
        <item x="30"/>
        <item x="49"/>
        <item x="14"/>
        <item x="0"/>
        <item x="44"/>
        <item x="29"/>
        <item x="33"/>
        <item x="42"/>
        <item x="35"/>
        <item x="45"/>
      </items>
    </pivotField>
    <pivotField axis="axisRow" showAll="0" defaultSubtotal="0">
      <items count="51">
        <item x="46"/>
        <item x="4"/>
        <item x="5"/>
        <item x="8"/>
        <item x="36"/>
        <item x="48"/>
        <item x="42"/>
        <item x="43"/>
        <item x="27"/>
        <item x="38"/>
        <item x="45"/>
        <item x="15"/>
        <item x="39"/>
        <item x="19"/>
        <item x="34"/>
        <item x="35"/>
        <item x="37"/>
        <item x="24"/>
        <item x="47"/>
        <item x="30"/>
        <item x="40"/>
        <item x="25"/>
        <item x="22"/>
        <item x="21"/>
        <item x="16"/>
        <item x="20"/>
        <item x="11"/>
        <item x="6"/>
        <item x="12"/>
        <item x="3"/>
        <item x="33"/>
        <item x="29"/>
        <item x="14"/>
        <item x="0"/>
        <item x="44"/>
        <item x="10"/>
        <item x="13"/>
        <item x="26"/>
        <item x="1"/>
        <item x="41"/>
        <item x="2"/>
        <item x="17"/>
        <item x="31"/>
        <item x="9"/>
        <item x="7"/>
        <item x="23"/>
        <item x="49"/>
        <item x="32"/>
        <item x="28"/>
        <item x="50"/>
        <item x="1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401">
        <item x="400"/>
        <item x="399"/>
        <item x="398"/>
        <item x="397"/>
        <item x="396"/>
        <item x="389"/>
        <item x="388"/>
        <item x="387"/>
        <item x="393"/>
        <item x="392"/>
        <item x="369"/>
        <item x="395"/>
        <item x="366"/>
        <item x="225"/>
        <item x="368"/>
        <item x="365"/>
        <item x="224"/>
        <item x="223"/>
        <item x="367"/>
        <item x="217"/>
        <item x="382"/>
        <item x="208"/>
        <item x="216"/>
        <item x="148"/>
        <item x="222"/>
        <item x="228"/>
        <item x="137"/>
        <item x="289"/>
        <item x="273"/>
        <item x="147"/>
        <item x="215"/>
        <item x="292"/>
        <item x="193"/>
        <item x="136"/>
        <item x="146"/>
        <item x="135"/>
        <item x="345"/>
        <item x="207"/>
        <item x="158"/>
        <item x="182"/>
        <item x="192"/>
        <item x="123"/>
        <item x="145"/>
        <item x="157"/>
        <item x="92"/>
        <item x="134"/>
        <item x="91"/>
        <item x="236"/>
        <item x="206"/>
        <item x="214"/>
        <item x="181"/>
        <item x="200"/>
        <item x="122"/>
        <item x="221"/>
        <item x="58"/>
        <item x="121"/>
        <item x="77"/>
        <item x="220"/>
        <item x="90"/>
        <item x="240"/>
        <item x="76"/>
        <item x="219"/>
        <item x="291"/>
        <item x="144"/>
        <item x="290"/>
        <item x="180"/>
        <item x="133"/>
        <item x="57"/>
        <item x="132"/>
        <item x="75"/>
        <item x="170"/>
        <item x="74"/>
        <item x="285"/>
        <item x="156"/>
        <item x="120"/>
        <item x="89"/>
        <item x="73"/>
        <item x="131"/>
        <item x="107"/>
        <item x="119"/>
        <item x="191"/>
        <item x="118"/>
        <item x="72"/>
        <item x="56"/>
        <item x="179"/>
        <item x="117"/>
        <item x="88"/>
        <item x="155"/>
        <item x="55"/>
        <item x="272"/>
        <item x="54"/>
        <item x="53"/>
        <item x="52"/>
        <item x="269"/>
        <item x="268"/>
        <item x="213"/>
        <item x="218"/>
        <item x="130"/>
        <item x="87"/>
        <item x="363"/>
        <item x="278"/>
        <item x="190"/>
        <item x="86"/>
        <item x="106"/>
        <item x="85"/>
        <item x="205"/>
        <item x="51"/>
        <item x="204"/>
        <item x="178"/>
        <item x="321"/>
        <item x="50"/>
        <item x="212"/>
        <item x="84"/>
        <item x="391"/>
        <item x="177"/>
        <item x="143"/>
        <item x="364"/>
        <item x="385"/>
        <item x="142"/>
        <item x="199"/>
        <item x="394"/>
        <item x="154"/>
        <item x="153"/>
        <item x="267"/>
        <item x="105"/>
        <item x="288"/>
        <item x="116"/>
        <item x="71"/>
        <item x="115"/>
        <item x="152"/>
        <item x="141"/>
        <item x="189"/>
        <item x="227"/>
        <item x="104"/>
        <item x="70"/>
        <item x="169"/>
        <item x="168"/>
        <item x="239"/>
        <item x="266"/>
        <item x="103"/>
        <item x="235"/>
        <item x="265"/>
        <item x="234"/>
        <item x="69"/>
        <item x="167"/>
        <item x="114"/>
        <item x="176"/>
        <item x="198"/>
        <item x="129"/>
        <item x="211"/>
        <item x="49"/>
        <item x="48"/>
        <item x="102"/>
        <item x="282"/>
        <item x="203"/>
        <item x="308"/>
        <item x="344"/>
        <item x="128"/>
        <item x="331"/>
        <item x="188"/>
        <item x="68"/>
        <item x="380"/>
        <item x="166"/>
        <item x="187"/>
        <item x="307"/>
        <item x="67"/>
        <item x="175"/>
        <item x="202"/>
        <item x="210"/>
        <item x="371"/>
        <item x="320"/>
        <item x="287"/>
        <item x="66"/>
        <item x="101"/>
        <item x="65"/>
        <item x="113"/>
        <item x="201"/>
        <item x="343"/>
        <item x="165"/>
        <item x="127"/>
        <item x="277"/>
        <item x="164"/>
        <item x="209"/>
        <item x="330"/>
        <item x="112"/>
        <item x="356"/>
        <item x="64"/>
        <item x="63"/>
        <item x="386"/>
        <item x="151"/>
        <item x="381"/>
        <item x="163"/>
        <item x="376"/>
        <item x="186"/>
        <item x="226"/>
        <item x="83"/>
        <item x="197"/>
        <item x="82"/>
        <item x="337"/>
        <item x="313"/>
        <item x="233"/>
        <item x="362"/>
        <item x="232"/>
        <item x="174"/>
        <item x="47"/>
        <item x="100"/>
        <item x="99"/>
        <item x="264"/>
        <item x="312"/>
        <item x="111"/>
        <item x="196"/>
        <item x="140"/>
        <item x="384"/>
        <item x="319"/>
        <item x="306"/>
        <item x="257"/>
        <item x="98"/>
        <item x="309"/>
        <item x="355"/>
        <item x="173"/>
        <item x="172"/>
        <item x="238"/>
        <item x="318"/>
        <item x="139"/>
        <item x="46"/>
        <item x="81"/>
        <item x="195"/>
        <item x="336"/>
        <item x="317"/>
        <item x="231"/>
        <item x="370"/>
        <item x="375"/>
        <item x="305"/>
        <item x="271"/>
        <item x="263"/>
        <item x="286"/>
        <item x="270"/>
        <item x="281"/>
        <item x="45"/>
        <item x="256"/>
        <item x="44"/>
        <item x="138"/>
        <item x="150"/>
        <item x="354"/>
        <item x="80"/>
        <item x="262"/>
        <item x="342"/>
        <item x="126"/>
        <item x="194"/>
        <item x="62"/>
        <item x="237"/>
        <item x="329"/>
        <item x="353"/>
        <item x="185"/>
        <item x="341"/>
        <item x="125"/>
        <item x="284"/>
        <item x="311"/>
        <item x="43"/>
        <item x="162"/>
        <item x="335"/>
        <item x="97"/>
        <item x="124"/>
        <item x="79"/>
        <item x="261"/>
        <item x="78"/>
        <item x="304"/>
        <item x="280"/>
        <item x="334"/>
        <item x="149"/>
        <item x="171"/>
        <item x="303"/>
        <item x="359"/>
        <item x="383"/>
        <item x="184"/>
        <item x="61"/>
        <item x="352"/>
        <item x="351"/>
        <item x="110"/>
        <item x="230"/>
        <item x="276"/>
        <item x="109"/>
        <item x="283"/>
        <item x="275"/>
        <item x="390"/>
        <item x="229"/>
        <item x="374"/>
        <item x="350"/>
        <item x="340"/>
        <item x="96"/>
        <item x="379"/>
        <item x="42"/>
        <item x="361"/>
        <item x="328"/>
        <item x="260"/>
        <item x="316"/>
        <item x="255"/>
        <item x="41"/>
        <item x="373"/>
        <item x="302"/>
        <item x="254"/>
        <item x="327"/>
        <item x="326"/>
        <item x="161"/>
        <item x="358"/>
        <item x="95"/>
        <item x="279"/>
        <item x="183"/>
        <item x="160"/>
        <item x="108"/>
        <item x="253"/>
        <item x="349"/>
        <item x="315"/>
        <item x="357"/>
        <item x="60"/>
        <item x="360"/>
        <item x="301"/>
        <item x="252"/>
        <item x="339"/>
        <item x="300"/>
        <item x="378"/>
        <item x="259"/>
        <item x="251"/>
        <item x="325"/>
        <item x="310"/>
        <item x="314"/>
        <item x="274"/>
        <item x="299"/>
        <item x="377"/>
        <item x="94"/>
        <item x="338"/>
        <item x="40"/>
        <item x="59"/>
        <item x="324"/>
        <item x="333"/>
        <item x="298"/>
        <item x="332"/>
        <item x="250"/>
        <item x="348"/>
        <item x="39"/>
        <item x="347"/>
        <item x="38"/>
        <item x="258"/>
        <item x="37"/>
        <item x="297"/>
        <item x="296"/>
        <item x="36"/>
        <item x="346"/>
        <item x="249"/>
        <item x="323"/>
        <item x="372"/>
        <item x="159"/>
        <item x="248"/>
        <item x="247"/>
        <item x="246"/>
        <item x="35"/>
        <item x="245"/>
        <item x="322"/>
        <item x="295"/>
        <item x="244"/>
        <item x="294"/>
        <item x="93"/>
        <item x="34"/>
        <item x="293"/>
        <item x="33"/>
        <item x="32"/>
        <item x="19"/>
        <item x="31"/>
        <item x="18"/>
        <item x="17"/>
        <item x="243"/>
        <item x="16"/>
        <item x="15"/>
        <item x="30"/>
        <item x="29"/>
        <item x="28"/>
        <item x="27"/>
        <item x="242"/>
        <item x="26"/>
        <item x="241"/>
        <item x="25"/>
        <item x="24"/>
        <item x="14"/>
        <item x="23"/>
        <item x="13"/>
        <item x="12"/>
        <item x="11"/>
        <item x="10"/>
        <item x="22"/>
        <item x="9"/>
        <item x="8"/>
        <item x="7"/>
        <item x="21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631">
        <item x="538"/>
        <item x="604"/>
        <item x="537"/>
        <item x="610"/>
        <item x="450"/>
        <item x="472"/>
        <item x="209"/>
        <item x="536"/>
        <item x="428"/>
        <item x="497"/>
        <item x="360"/>
        <item x="359"/>
        <item x="416"/>
        <item x="143"/>
        <item x="427"/>
        <item x="491"/>
        <item x="574"/>
        <item x="516"/>
        <item x="208"/>
        <item x="207"/>
        <item x="155"/>
        <item x="308"/>
        <item x="340"/>
        <item x="325"/>
        <item x="58"/>
        <item x="19"/>
        <item x="206"/>
        <item x="18"/>
        <item x="236"/>
        <item x="349"/>
        <item x="17"/>
        <item x="373"/>
        <item x="142"/>
        <item x="154"/>
        <item x="399"/>
        <item x="127"/>
        <item x="222"/>
        <item x="109"/>
        <item x="39"/>
        <item x="141"/>
        <item x="76"/>
        <item x="205"/>
        <item x="38"/>
        <item x="37"/>
        <item x="372"/>
        <item x="16"/>
        <item x="15"/>
        <item x="191"/>
        <item x="75"/>
        <item x="592"/>
        <item x="57"/>
        <item x="287"/>
        <item x="36"/>
        <item x="235"/>
        <item x="93"/>
        <item x="471"/>
        <item x="249"/>
        <item x="415"/>
        <item x="511"/>
        <item x="262"/>
        <item x="108"/>
        <item x="408"/>
        <item x="449"/>
        <item x="286"/>
        <item x="126"/>
        <item x="190"/>
        <item x="74"/>
        <item x="234"/>
        <item x="464"/>
        <item x="523"/>
        <item x="582"/>
        <item x="73"/>
        <item x="448"/>
        <item x="125"/>
        <item x="591"/>
        <item x="248"/>
        <item x="625"/>
        <item x="274"/>
        <item x="324"/>
        <item x="56"/>
        <item x="426"/>
        <item x="189"/>
        <item x="72"/>
        <item x="166"/>
        <item x="358"/>
        <item x="35"/>
        <item x="124"/>
        <item x="92"/>
        <item x="55"/>
        <item x="107"/>
        <item x="247"/>
        <item x="447"/>
        <item x="54"/>
        <item x="91"/>
        <item x="53"/>
        <item x="273"/>
        <item x="52"/>
        <item x="615"/>
        <item x="398"/>
        <item x="153"/>
        <item x="106"/>
        <item x="221"/>
        <item x="307"/>
        <item x="233"/>
        <item x="567"/>
        <item x="272"/>
        <item x="446"/>
        <item x="105"/>
        <item x="285"/>
        <item x="339"/>
        <item x="261"/>
        <item x="390"/>
        <item x="204"/>
        <item x="14"/>
        <item x="496"/>
        <item x="561"/>
        <item x="338"/>
        <item x="397"/>
        <item x="371"/>
        <item x="51"/>
        <item x="396"/>
        <item x="306"/>
        <item x="123"/>
        <item x="34"/>
        <item x="510"/>
        <item x="188"/>
        <item x="337"/>
        <item x="50"/>
        <item x="323"/>
        <item x="389"/>
        <item x="104"/>
        <item x="316"/>
        <item x="490"/>
        <item x="90"/>
        <item x="13"/>
        <item x="370"/>
        <item x="122"/>
        <item x="33"/>
        <item x="140"/>
        <item x="369"/>
        <item x="139"/>
        <item x="12"/>
        <item x="581"/>
        <item x="603"/>
        <item x="138"/>
        <item x="322"/>
        <item x="152"/>
        <item x="590"/>
        <item x="187"/>
        <item x="388"/>
        <item x="121"/>
        <item x="89"/>
        <item x="315"/>
        <item x="175"/>
        <item x="203"/>
        <item x="260"/>
        <item x="232"/>
        <item x="202"/>
        <item x="32"/>
        <item x="298"/>
        <item x="103"/>
        <item x="336"/>
        <item x="88"/>
        <item x="165"/>
        <item x="120"/>
        <item x="246"/>
        <item x="119"/>
        <item x="348"/>
        <item x="407"/>
        <item x="271"/>
        <item x="137"/>
        <item x="509"/>
        <item x="522"/>
        <item x="480"/>
        <item x="270"/>
        <item x="11"/>
        <item x="368"/>
        <item x="87"/>
        <item x="489"/>
        <item x="186"/>
        <item x="406"/>
        <item x="425"/>
        <item x="151"/>
        <item x="174"/>
        <item x="71"/>
        <item x="602"/>
        <item x="488"/>
        <item x="437"/>
        <item x="164"/>
        <item x="231"/>
        <item x="463"/>
        <item x="560"/>
        <item x="462"/>
        <item x="10"/>
        <item x="445"/>
        <item x="86"/>
        <item x="31"/>
        <item x="347"/>
        <item x="297"/>
        <item x="504"/>
        <item x="70"/>
        <item x="515"/>
        <item x="85"/>
        <item x="296"/>
        <item x="559"/>
        <item x="550"/>
        <item x="220"/>
        <item x="49"/>
        <item x="48"/>
        <item x="201"/>
        <item x="102"/>
        <item x="335"/>
        <item x="101"/>
        <item x="334"/>
        <item x="346"/>
        <item x="503"/>
        <item x="100"/>
        <item x="69"/>
        <item x="549"/>
        <item x="379"/>
        <item x="185"/>
        <item x="470"/>
        <item x="295"/>
        <item x="521"/>
        <item x="436"/>
        <item x="588"/>
        <item x="357"/>
        <item x="84"/>
        <item x="333"/>
        <item x="136"/>
        <item x="461"/>
        <item x="99"/>
        <item x="163"/>
        <item x="573"/>
        <item x="150"/>
        <item x="173"/>
        <item x="356"/>
        <item x="378"/>
        <item x="345"/>
        <item x="598"/>
        <item x="460"/>
        <item x="529"/>
        <item x="580"/>
        <item x="630"/>
        <item x="435"/>
        <item x="548"/>
        <item x="284"/>
        <item x="184"/>
        <item x="508"/>
        <item x="332"/>
        <item x="259"/>
        <item x="367"/>
        <item x="118"/>
        <item x="245"/>
        <item x="68"/>
        <item x="355"/>
        <item x="30"/>
        <item x="117"/>
        <item x="395"/>
        <item x="9"/>
        <item x="283"/>
        <item x="479"/>
        <item x="566"/>
        <item x="67"/>
        <item x="8"/>
        <item x="294"/>
        <item x="424"/>
        <item x="183"/>
        <item x="282"/>
        <item x="423"/>
        <item x="29"/>
        <item x="7"/>
        <item x="558"/>
        <item x="434"/>
        <item x="28"/>
        <item x="27"/>
        <item x="172"/>
        <item x="66"/>
        <item x="149"/>
        <item x="171"/>
        <item x="587"/>
        <item x="65"/>
        <item x="258"/>
        <item x="557"/>
        <item x="387"/>
        <item x="219"/>
        <item x="200"/>
        <item x="314"/>
        <item x="414"/>
        <item x="394"/>
        <item x="609"/>
        <item x="305"/>
        <item x="26"/>
        <item x="547"/>
        <item x="199"/>
        <item x="321"/>
        <item x="556"/>
        <item x="293"/>
        <item x="405"/>
        <item x="116"/>
        <item x="230"/>
        <item x="444"/>
        <item x="135"/>
        <item x="257"/>
        <item x="304"/>
        <item x="218"/>
        <item x="487"/>
        <item x="64"/>
        <item x="256"/>
        <item x="63"/>
        <item x="47"/>
        <item x="601"/>
        <item x="6"/>
        <item x="386"/>
        <item x="528"/>
        <item x="244"/>
        <item x="303"/>
        <item x="469"/>
        <item x="555"/>
        <item x="217"/>
        <item x="478"/>
        <item x="413"/>
        <item x="422"/>
        <item x="134"/>
        <item x="624"/>
        <item x="354"/>
        <item x="579"/>
        <item x="229"/>
        <item x="629"/>
        <item x="433"/>
        <item x="162"/>
        <item x="255"/>
        <item x="25"/>
        <item x="302"/>
        <item x="161"/>
        <item x="292"/>
        <item x="477"/>
        <item x="620"/>
        <item x="5"/>
        <item x="313"/>
        <item x="542"/>
        <item x="331"/>
        <item x="565"/>
        <item x="619"/>
        <item x="182"/>
        <item x="454"/>
        <item x="254"/>
        <item x="377"/>
        <item x="243"/>
        <item x="24"/>
        <item x="160"/>
        <item x="228"/>
        <item x="385"/>
        <item x="514"/>
        <item x="578"/>
        <item x="198"/>
        <item x="83"/>
        <item x="46"/>
        <item x="133"/>
        <item x="170"/>
        <item x="216"/>
        <item x="269"/>
        <item x="502"/>
        <item x="197"/>
        <item x="148"/>
        <item x="196"/>
        <item x="376"/>
        <item x="115"/>
        <item x="132"/>
        <item x="330"/>
        <item x="353"/>
        <item x="281"/>
        <item x="4"/>
        <item x="227"/>
        <item x="366"/>
        <item x="535"/>
        <item x="468"/>
        <item x="412"/>
        <item x="45"/>
        <item x="291"/>
        <item x="344"/>
        <item x="44"/>
        <item x="131"/>
        <item x="586"/>
        <item x="280"/>
        <item x="98"/>
        <item x="312"/>
        <item x="114"/>
        <item x="181"/>
        <item x="279"/>
        <item x="215"/>
        <item x="147"/>
        <item x="421"/>
        <item x="278"/>
        <item x="268"/>
        <item x="23"/>
        <item x="527"/>
        <item x="242"/>
        <item x="476"/>
        <item x="520"/>
        <item x="628"/>
        <item x="432"/>
        <item x="597"/>
        <item x="404"/>
        <item x="3"/>
        <item x="564"/>
        <item x="534"/>
        <item x="384"/>
        <item x="554"/>
        <item x="403"/>
        <item x="180"/>
        <item x="383"/>
        <item x="365"/>
        <item x="320"/>
        <item x="290"/>
        <item x="43"/>
        <item x="226"/>
        <item x="459"/>
        <item x="541"/>
        <item x="402"/>
        <item x="82"/>
        <item x="596"/>
        <item x="364"/>
        <item x="267"/>
        <item x="159"/>
        <item x="81"/>
        <item x="495"/>
        <item x="501"/>
        <item x="195"/>
        <item x="546"/>
        <item x="62"/>
        <item x="563"/>
        <item x="266"/>
        <item x="130"/>
        <item x="329"/>
        <item x="113"/>
        <item x="97"/>
        <item x="443"/>
        <item x="623"/>
        <item x="214"/>
        <item x="289"/>
        <item x="486"/>
        <item x="241"/>
        <item x="614"/>
        <item x="393"/>
        <item x="277"/>
        <item x="442"/>
        <item x="453"/>
        <item x="540"/>
        <item x="585"/>
        <item x="253"/>
        <item x="485"/>
        <item x="213"/>
        <item x="572"/>
        <item x="179"/>
        <item x="375"/>
        <item x="420"/>
        <item x="545"/>
        <item x="441"/>
        <item x="553"/>
        <item x="500"/>
        <item x="622"/>
        <item x="458"/>
        <item x="484"/>
        <item x="169"/>
        <item x="276"/>
        <item x="571"/>
        <item x="363"/>
        <item x="608"/>
        <item x="311"/>
        <item x="80"/>
        <item x="457"/>
        <item x="552"/>
        <item x="61"/>
        <item x="252"/>
        <item x="212"/>
        <item x="158"/>
        <item x="392"/>
        <item x="607"/>
        <item x="168"/>
        <item x="595"/>
        <item x="240"/>
        <item x="288"/>
        <item x="483"/>
        <item x="178"/>
        <item x="42"/>
        <item x="177"/>
        <item x="225"/>
        <item x="544"/>
        <item x="570"/>
        <item x="613"/>
        <item x="343"/>
        <item x="594"/>
        <item x="533"/>
        <item x="584"/>
        <item x="499"/>
        <item x="79"/>
        <item x="419"/>
        <item x="265"/>
        <item x="577"/>
        <item x="618"/>
        <item x="600"/>
        <item x="543"/>
        <item x="96"/>
        <item x="41"/>
        <item x="22"/>
        <item x="211"/>
        <item x="301"/>
        <item x="95"/>
        <item x="224"/>
        <item x="576"/>
        <item x="362"/>
        <item x="440"/>
        <item x="411"/>
        <item x="239"/>
        <item x="2"/>
        <item x="612"/>
        <item x="621"/>
        <item x="617"/>
        <item x="382"/>
        <item x="194"/>
        <item x="328"/>
        <item x="507"/>
        <item x="78"/>
        <item x="327"/>
        <item x="223"/>
        <item x="264"/>
        <item x="77"/>
        <item x="494"/>
        <item x="391"/>
        <item x="519"/>
        <item x="513"/>
        <item x="381"/>
        <item x="431"/>
        <item x="532"/>
        <item x="263"/>
        <item x="342"/>
        <item x="310"/>
        <item x="210"/>
        <item x="275"/>
        <item x="518"/>
        <item x="452"/>
        <item x="531"/>
        <item x="129"/>
        <item x="238"/>
        <item x="319"/>
        <item x="237"/>
        <item x="352"/>
        <item x="380"/>
        <item x="318"/>
        <item x="493"/>
        <item x="475"/>
        <item x="146"/>
        <item x="569"/>
        <item x="112"/>
        <item x="21"/>
        <item x="593"/>
        <item x="467"/>
        <item x="20"/>
        <item x="111"/>
        <item x="456"/>
        <item x="401"/>
        <item x="482"/>
        <item x="351"/>
        <item x="374"/>
        <item x="526"/>
        <item x="410"/>
        <item x="193"/>
        <item x="128"/>
        <item x="492"/>
        <item x="251"/>
        <item x="1"/>
        <item x="157"/>
        <item x="176"/>
        <item x="525"/>
        <item x="300"/>
        <item x="474"/>
        <item x="145"/>
        <item x="400"/>
        <item x="0"/>
        <item x="60"/>
        <item x="418"/>
        <item x="361"/>
        <item x="575"/>
        <item x="451"/>
        <item x="455"/>
        <item x="299"/>
        <item x="627"/>
        <item x="250"/>
        <item x="430"/>
        <item x="473"/>
        <item x="429"/>
        <item x="466"/>
        <item x="439"/>
        <item x="409"/>
        <item x="144"/>
        <item x="40"/>
        <item x="317"/>
        <item x="506"/>
        <item x="156"/>
        <item x="611"/>
        <item x="350"/>
        <item x="626"/>
        <item x="465"/>
        <item x="505"/>
        <item x="309"/>
        <item x="110"/>
        <item x="59"/>
        <item x="551"/>
        <item x="341"/>
        <item x="438"/>
        <item x="417"/>
        <item x="192"/>
        <item x="517"/>
        <item x="326"/>
        <item x="524"/>
        <item x="481"/>
        <item x="167"/>
        <item x="616"/>
        <item x="606"/>
        <item x="498"/>
        <item x="94"/>
        <item x="568"/>
        <item x="605"/>
        <item x="539"/>
        <item x="530"/>
        <item x="583"/>
        <item x="512"/>
        <item x="562"/>
        <item x="589"/>
        <item x="599"/>
      </items>
    </pivotField>
    <pivotField dataField="1" showAll="0" defaultSubtotal="0">
      <items count="282">
        <item x="84"/>
        <item x="56"/>
        <item x="125"/>
        <item x="79"/>
        <item x="71"/>
        <item x="126"/>
        <item x="54"/>
        <item x="57"/>
        <item x="116"/>
        <item x="97"/>
        <item x="82"/>
        <item x="83"/>
        <item x="93"/>
        <item x="94"/>
        <item x="63"/>
        <item x="55"/>
        <item x="49"/>
        <item x="44"/>
        <item x="108"/>
        <item x="75"/>
        <item x="124"/>
        <item x="53"/>
        <item x="103"/>
        <item x="142"/>
        <item x="115"/>
        <item x="81"/>
        <item x="137"/>
        <item x="66"/>
        <item x="95"/>
        <item x="159"/>
        <item x="72"/>
        <item x="69"/>
        <item x="35"/>
        <item x="143"/>
        <item x="106"/>
        <item x="132"/>
        <item x="62"/>
        <item x="261"/>
        <item x="107"/>
        <item x="166"/>
        <item x="160"/>
        <item x="138"/>
        <item x="70"/>
        <item x="161"/>
        <item x="114"/>
        <item x="51"/>
        <item x="105"/>
        <item x="92"/>
        <item x="200"/>
        <item x="80"/>
        <item x="50"/>
        <item x="173"/>
        <item x="162"/>
        <item x="144"/>
        <item x="36"/>
        <item x="145"/>
        <item x="78"/>
        <item x="121"/>
        <item x="152"/>
        <item x="195"/>
        <item x="206"/>
        <item x="123"/>
        <item x="163"/>
        <item x="52"/>
        <item x="120"/>
        <item x="164"/>
        <item x="45"/>
        <item x="129"/>
        <item x="254"/>
        <item x="96"/>
        <item x="149"/>
        <item x="131"/>
        <item x="169"/>
        <item x="176"/>
        <item x="274"/>
        <item x="113"/>
        <item x="122"/>
        <item x="207"/>
        <item x="218"/>
        <item x="154"/>
        <item x="168"/>
        <item x="222"/>
        <item x="91"/>
        <item x="68"/>
        <item x="89"/>
        <item x="155"/>
        <item x="230"/>
        <item x="266"/>
        <item x="177"/>
        <item x="219"/>
        <item x="278"/>
        <item x="33"/>
        <item x="281"/>
        <item x="67"/>
        <item x="102"/>
        <item x="204"/>
        <item x="187"/>
        <item x="38"/>
        <item x="156"/>
        <item x="235"/>
        <item x="64"/>
        <item x="139"/>
        <item x="130"/>
        <item x="104"/>
        <item x="280"/>
        <item x="112"/>
        <item x="118"/>
        <item x="167"/>
        <item x="150"/>
        <item x="48"/>
        <item x="175"/>
        <item x="165"/>
        <item x="223"/>
        <item x="16"/>
        <item x="151"/>
        <item x="101"/>
        <item x="258"/>
        <item x="255"/>
        <item x="76"/>
        <item x="186"/>
        <item x="37"/>
        <item x="157"/>
        <item x="47"/>
        <item x="158"/>
        <item x="260"/>
        <item x="214"/>
        <item x="267"/>
        <item x="192"/>
        <item x="61"/>
        <item x="77"/>
        <item x="238"/>
        <item x="247"/>
        <item x="65"/>
        <item x="205"/>
        <item x="191"/>
        <item x="202"/>
        <item x="18"/>
        <item x="240"/>
        <item x="46"/>
        <item x="174"/>
        <item x="198"/>
        <item x="171"/>
        <item x="239"/>
        <item x="224"/>
        <item x="128"/>
        <item x="43"/>
        <item x="42"/>
        <item x="241"/>
        <item x="73"/>
        <item x="246"/>
        <item x="119"/>
        <item x="259"/>
        <item x="172"/>
        <item x="229"/>
        <item x="199"/>
        <item x="276"/>
        <item x="228"/>
        <item x="277"/>
        <item x="273"/>
        <item x="90"/>
        <item x="136"/>
        <item x="252"/>
        <item x="272"/>
        <item x="110"/>
        <item x="28"/>
        <item x="141"/>
        <item x="127"/>
        <item x="244"/>
        <item x="201"/>
        <item x="250"/>
        <item x="74"/>
        <item x="100"/>
        <item x="275"/>
        <item x="194"/>
        <item x="215"/>
        <item x="153"/>
        <item x="87"/>
        <item x="217"/>
        <item x="117"/>
        <item x="262"/>
        <item x="39"/>
        <item x="111"/>
        <item x="245"/>
        <item x="170"/>
        <item x="148"/>
        <item x="140"/>
        <item x="14"/>
        <item x="216"/>
        <item x="109"/>
        <item x="147"/>
        <item x="203"/>
        <item x="60"/>
        <item x="197"/>
        <item x="213"/>
        <item x="146"/>
        <item x="19"/>
        <item x="88"/>
        <item x="193"/>
        <item x="265"/>
        <item x="99"/>
        <item x="211"/>
        <item x="270"/>
        <item x="185"/>
        <item x="243"/>
        <item x="279"/>
        <item x="251"/>
        <item x="234"/>
        <item x="135"/>
        <item x="189"/>
        <item x="257"/>
        <item x="190"/>
        <item x="41"/>
        <item x="264"/>
        <item x="268"/>
        <item x="227"/>
        <item x="24"/>
        <item x="134"/>
        <item x="32"/>
        <item x="98"/>
        <item x="225"/>
        <item x="15"/>
        <item x="58"/>
        <item x="226"/>
        <item x="256"/>
        <item x="271"/>
        <item x="59"/>
        <item x="248"/>
        <item x="221"/>
        <item x="34"/>
        <item x="237"/>
        <item x="233"/>
        <item x="184"/>
        <item x="253"/>
        <item x="196"/>
        <item x="212"/>
        <item x="86"/>
        <item x="133"/>
        <item x="269"/>
        <item x="220"/>
        <item x="182"/>
        <item x="242"/>
        <item x="40"/>
        <item x="181"/>
        <item x="249"/>
        <item x="31"/>
        <item x="236"/>
        <item x="263"/>
        <item x="25"/>
        <item x="188"/>
        <item x="8"/>
        <item x="17"/>
        <item x="183"/>
        <item x="232"/>
        <item x="210"/>
        <item x="85"/>
        <item x="231"/>
        <item x="13"/>
        <item x="209"/>
        <item x="208"/>
        <item x="179"/>
        <item x="26"/>
        <item x="29"/>
        <item x="12"/>
        <item x="23"/>
        <item x="30"/>
        <item x="4"/>
        <item x="180"/>
        <item x="11"/>
        <item x="27"/>
        <item x="5"/>
        <item x="178"/>
        <item x="10"/>
        <item x="20"/>
        <item x="6"/>
        <item x="22"/>
        <item x="9"/>
        <item x="3"/>
        <item x="21"/>
        <item x="7"/>
        <item x="0"/>
        <item x="2"/>
        <item x="1"/>
      </items>
    </pivotField>
    <pivotField dataField="1" showAll="0" defaultSubtotal="0">
      <items count="649">
        <item x="89"/>
        <item x="103"/>
        <item x="56"/>
        <item x="334"/>
        <item x="139"/>
        <item x="212"/>
        <item x="85"/>
        <item x="294"/>
        <item x="239"/>
        <item x="365"/>
        <item x="35"/>
        <item x="224"/>
        <item x="356"/>
        <item x="16"/>
        <item x="335"/>
        <item x="295"/>
        <item x="533"/>
        <item x="18"/>
        <item x="36"/>
        <item x="282"/>
        <item x="113"/>
        <item x="102"/>
        <item x="418"/>
        <item x="80"/>
        <item x="54"/>
        <item x="132"/>
        <item x="71"/>
        <item x="151"/>
        <item x="105"/>
        <item x="57"/>
        <item x="262"/>
        <item x="14"/>
        <item x="122"/>
        <item x="555"/>
        <item x="33"/>
        <item x="19"/>
        <item x="247"/>
        <item x="38"/>
        <item x="99"/>
        <item x="226"/>
        <item x="440"/>
        <item x="164"/>
        <item x="100"/>
        <item x="304"/>
        <item x="316"/>
        <item x="177"/>
        <item x="292"/>
        <item x="153"/>
        <item x="409"/>
        <item x="37"/>
        <item x="161"/>
        <item x="87"/>
        <item x="15"/>
        <item x="227"/>
        <item x="138"/>
        <item x="489"/>
        <item x="307"/>
        <item x="382"/>
        <item x="527"/>
        <item x="460"/>
        <item x="318"/>
        <item x="289"/>
        <item x="619"/>
        <item x="175"/>
        <item x="263"/>
        <item x="425"/>
        <item x="62"/>
        <item x="55"/>
        <item x="118"/>
        <item x="333"/>
        <item x="106"/>
        <item x="196"/>
        <item x="50"/>
        <item x="305"/>
        <item x="598"/>
        <item x="342"/>
        <item x="44"/>
        <item x="547"/>
        <item x="28"/>
        <item x="327"/>
        <item x="541"/>
        <item x="642"/>
        <item x="313"/>
        <item x="200"/>
        <item x="303"/>
        <item x="84"/>
        <item x="146"/>
        <item x="8"/>
        <item x="419"/>
        <item x="134"/>
        <item x="317"/>
        <item x="17"/>
        <item x="101"/>
        <item x="39"/>
        <item x="88"/>
        <item x="325"/>
        <item x="121"/>
        <item x="487"/>
        <item x="205"/>
        <item x="293"/>
        <item x="457"/>
        <item x="120"/>
        <item x="198"/>
        <item x="439"/>
        <item x="273"/>
        <item x="478"/>
        <item x="415"/>
        <item x="171"/>
        <item x="332"/>
        <item x="375"/>
        <item x="248"/>
        <item x="505"/>
        <item x="152"/>
        <item x="469"/>
        <item x="501"/>
        <item x="183"/>
        <item x="79"/>
        <item x="330"/>
        <item x="461"/>
        <item x="112"/>
        <item x="397"/>
        <item x="65"/>
        <item x="165"/>
        <item x="90"/>
        <item x="128"/>
        <item x="611"/>
        <item x="301"/>
        <item x="437"/>
        <item x="219"/>
        <item x="213"/>
        <item x="86"/>
        <item x="13"/>
        <item x="70"/>
        <item x="191"/>
        <item x="47"/>
        <item x="265"/>
        <item x="137"/>
        <item x="68"/>
        <item x="625"/>
        <item x="24"/>
        <item x="32"/>
        <item x="635"/>
        <item x="346"/>
        <item x="572"/>
        <item x="355"/>
        <item x="288"/>
        <item x="331"/>
        <item x="98"/>
        <item x="445"/>
        <item x="319"/>
        <item x="540"/>
        <item x="163"/>
        <item x="74"/>
        <item x="135"/>
        <item x="199"/>
        <item x="374"/>
        <item x="34"/>
        <item x="571"/>
        <item x="390"/>
        <item x="345"/>
        <item x="144"/>
        <item x="274"/>
        <item x="111"/>
        <item x="187"/>
        <item x="513"/>
        <item x="272"/>
        <item x="373"/>
        <item x="525"/>
        <item x="12"/>
        <item x="172"/>
        <item x="632"/>
        <item x="4"/>
        <item x="225"/>
        <item x="291"/>
        <item x="583"/>
        <item x="117"/>
        <item x="260"/>
        <item x="150"/>
        <item x="488"/>
        <item x="351"/>
        <item x="181"/>
        <item x="69"/>
        <item x="477"/>
        <item x="612"/>
        <item x="438"/>
        <item x="52"/>
        <item x="223"/>
        <item x="254"/>
        <item x="380"/>
        <item x="396"/>
        <item x="193"/>
        <item x="568"/>
        <item x="401"/>
        <item x="354"/>
        <item x="232"/>
        <item x="149"/>
        <item x="129"/>
        <item x="119"/>
        <item x="83"/>
        <item x="31"/>
        <item x="11"/>
        <item x="364"/>
        <item x="448"/>
        <item x="51"/>
        <item x="25"/>
        <item x="315"/>
        <item x="246"/>
        <item x="276"/>
        <item x="429"/>
        <item x="647"/>
        <item x="104"/>
        <item x="530"/>
        <item x="559"/>
        <item x="261"/>
        <item x="458"/>
        <item x="391"/>
        <item x="238"/>
        <item x="217"/>
        <item x="466"/>
        <item x="287"/>
        <item x="470"/>
        <item x="306"/>
        <item x="211"/>
        <item x="328"/>
        <item x="311"/>
        <item x="417"/>
        <item x="597"/>
        <item x="115"/>
        <item x="136"/>
        <item x="237"/>
        <item x="610"/>
        <item x="427"/>
        <item x="455"/>
        <item x="148"/>
        <item x="5"/>
        <item x="548"/>
        <item x="97"/>
        <item x="496"/>
        <item x="53"/>
        <item x="570"/>
        <item x="218"/>
        <item x="544"/>
        <item x="585"/>
        <item x="456"/>
        <item x="204"/>
        <item x="485"/>
        <item x="627"/>
        <item x="45"/>
        <item x="596"/>
        <item x="449"/>
        <item x="590"/>
        <item x="162"/>
        <item x="603"/>
        <item x="436"/>
        <item x="133"/>
        <item x="283"/>
        <item x="539"/>
        <item x="210"/>
        <item x="504"/>
        <item x="406"/>
        <item x="350"/>
        <item x="486"/>
        <item x="569"/>
        <item x="329"/>
        <item x="259"/>
        <item x="592"/>
        <item x="381"/>
        <item x="314"/>
        <item x="618"/>
        <item x="395"/>
        <item x="641"/>
        <item x="518"/>
        <item x="279"/>
        <item x="400"/>
        <item x="413"/>
        <item x="174"/>
        <item x="408"/>
        <item x="10"/>
        <item x="520"/>
        <item x="231"/>
        <item x="360"/>
        <item x="116"/>
        <item x="484"/>
        <item x="339"/>
        <item x="242"/>
        <item x="584"/>
        <item x="343"/>
        <item x="550"/>
        <item x="270"/>
        <item x="538"/>
        <item x="402"/>
        <item x="386"/>
        <item x="216"/>
        <item x="370"/>
        <item x="197"/>
        <item x="363"/>
        <item x="67"/>
        <item x="503"/>
        <item x="607"/>
        <item x="271"/>
        <item x="523"/>
        <item x="173"/>
        <item x="344"/>
        <item x="256"/>
        <item x="591"/>
        <item x="379"/>
        <item x="517"/>
        <item x="340"/>
        <item x="459"/>
        <item x="561"/>
        <item x="180"/>
        <item x="500"/>
        <item x="82"/>
        <item x="407"/>
        <item x="476"/>
        <item x="483"/>
        <item x="609"/>
        <item x="368"/>
        <item x="281"/>
        <item x="626"/>
        <item x="176"/>
        <item x="66"/>
        <item x="640"/>
        <item x="537"/>
        <item x="182"/>
        <item x="131"/>
        <item x="192"/>
        <item x="250"/>
        <item x="644"/>
        <item x="509"/>
        <item x="633"/>
        <item x="186"/>
        <item x="532"/>
        <item x="326"/>
        <item x="206"/>
        <item x="493"/>
        <item x="78"/>
        <item x="588"/>
        <item x="302"/>
        <item x="512"/>
        <item x="389"/>
        <item x="63"/>
        <item x="423"/>
        <item x="546"/>
        <item x="26"/>
        <item x="468"/>
        <item x="251"/>
        <item x="49"/>
        <item x="634"/>
        <item x="519"/>
        <item x="446"/>
        <item x="639"/>
        <item x="6"/>
        <item x="416"/>
        <item x="426"/>
        <item x="353"/>
        <item x="127"/>
        <item x="252"/>
        <item x="269"/>
        <item x="29"/>
        <item x="608"/>
        <item x="563"/>
        <item x="465"/>
        <item x="424"/>
        <item x="9"/>
        <item x="94"/>
        <item x="511"/>
        <item x="372"/>
        <item x="169"/>
        <item x="233"/>
        <item x="3"/>
        <item x="145"/>
        <item x="324"/>
        <item x="577"/>
        <item x="110"/>
        <item x="257"/>
        <item x="23"/>
        <item x="428"/>
        <item x="387"/>
        <item x="30"/>
        <item x="475"/>
        <item x="157"/>
        <item x="300"/>
        <item x="245"/>
        <item x="75"/>
        <item x="579"/>
        <item x="158"/>
        <item x="221"/>
        <item x="312"/>
        <item x="388"/>
        <item x="562"/>
        <item x="502"/>
        <item x="467"/>
        <item x="616"/>
        <item x="48"/>
        <item x="444"/>
        <item x="299"/>
        <item x="531"/>
        <item x="235"/>
        <item x="435"/>
        <item x="114"/>
        <item x="434"/>
        <item x="453"/>
        <item x="207"/>
        <item x="637"/>
        <item x="160"/>
        <item x="143"/>
        <item x="394"/>
        <item x="481"/>
        <item x="96"/>
        <item x="526"/>
        <item x="578"/>
        <item x="560"/>
        <item x="234"/>
        <item x="454"/>
        <item x="412"/>
        <item x="623"/>
        <item x="378"/>
        <item x="61"/>
        <item x="208"/>
        <item x="399"/>
        <item x="482"/>
        <item x="510"/>
        <item x="222"/>
        <item x="341"/>
        <item x="398"/>
        <item x="46"/>
        <item x="567"/>
        <item x="7"/>
        <item x="236"/>
        <item x="64"/>
        <item x="648"/>
        <item x="361"/>
        <item x="414"/>
        <item x="524"/>
        <item x="130"/>
        <item x="290"/>
        <item x="194"/>
        <item x="43"/>
        <item x="81"/>
        <item x="494"/>
        <item x="42"/>
        <item x="554"/>
        <item x="452"/>
        <item x="244"/>
        <item x="362"/>
        <item x="617"/>
        <item x="147"/>
        <item x="474"/>
        <item x="126"/>
        <item x="195"/>
        <item x="93"/>
        <item x="581"/>
        <item x="495"/>
        <item x="27"/>
        <item x="209"/>
        <item x="576"/>
        <item x="258"/>
        <item x="602"/>
        <item x="566"/>
        <item x="352"/>
        <item x="278"/>
        <item x="565"/>
        <item x="185"/>
        <item x="322"/>
        <item x="170"/>
        <item x="369"/>
        <item x="184"/>
        <item x="255"/>
        <item x="432"/>
        <item x="624"/>
        <item x="447"/>
        <item x="243"/>
        <item x="631"/>
        <item x="615"/>
        <item x="159"/>
        <item x="545"/>
        <item x="646"/>
        <item x="323"/>
        <item x="95"/>
        <item x="203"/>
        <item x="589"/>
        <item x="553"/>
        <item x="280"/>
        <item x="613"/>
        <item x="433"/>
        <item x="600"/>
        <item x="220"/>
        <item x="595"/>
        <item x="492"/>
        <item x="357"/>
        <item x="551"/>
        <item x="516"/>
        <item x="141"/>
        <item x="310"/>
        <item x="347"/>
        <item x="76"/>
        <item x="371"/>
        <item x="606"/>
        <item x="630"/>
        <item x="575"/>
        <item x="20"/>
        <item x="605"/>
        <item x="285"/>
        <item x="267"/>
        <item x="621"/>
        <item x="253"/>
        <item x="241"/>
        <item x="442"/>
        <item x="558"/>
        <item x="109"/>
        <item x="536"/>
        <item x="638"/>
        <item x="228"/>
        <item x="77"/>
        <item x="580"/>
        <item x="385"/>
        <item x="277"/>
        <item x="499"/>
        <item x="60"/>
        <item x="574"/>
        <item x="601"/>
        <item x="431"/>
        <item x="543"/>
        <item x="471"/>
        <item x="366"/>
        <item x="268"/>
        <item x="383"/>
        <item x="599"/>
        <item x="297"/>
        <item x="0"/>
        <item x="515"/>
        <item x="552"/>
        <item x="156"/>
        <item x="124"/>
        <item x="168"/>
        <item x="298"/>
        <item x="384"/>
        <item x="508"/>
        <item x="557"/>
        <item x="629"/>
        <item x="338"/>
        <item x="72"/>
        <item x="367"/>
        <item x="473"/>
        <item x="321"/>
        <item x="622"/>
        <item x="480"/>
        <item x="594"/>
        <item x="535"/>
        <item x="587"/>
        <item x="286"/>
        <item x="464"/>
        <item x="2"/>
        <item x="549"/>
        <item x="405"/>
        <item x="422"/>
        <item x="420"/>
        <item x="472"/>
        <item x="498"/>
        <item x="266"/>
        <item x="92"/>
        <item x="443"/>
        <item x="22"/>
        <item x="349"/>
        <item x="41"/>
        <item x="336"/>
        <item x="411"/>
        <item x="230"/>
        <item x="190"/>
        <item x="167"/>
        <item x="645"/>
        <item x="462"/>
        <item x="529"/>
        <item x="490"/>
        <item x="582"/>
        <item x="359"/>
        <item x="403"/>
        <item x="377"/>
        <item x="142"/>
        <item x="522"/>
        <item x="376"/>
        <item x="125"/>
        <item x="275"/>
        <item x="309"/>
        <item x="491"/>
        <item x="108"/>
        <item x="506"/>
        <item x="451"/>
        <item x="358"/>
        <item x="189"/>
        <item x="404"/>
        <item x="229"/>
        <item x="201"/>
        <item x="179"/>
        <item x="202"/>
        <item x="214"/>
        <item x="155"/>
        <item x="249"/>
        <item x="528"/>
        <item x="215"/>
        <item x="556"/>
        <item x="123"/>
        <item x="393"/>
        <item x="188"/>
        <item x="636"/>
        <item x="154"/>
        <item x="463"/>
        <item x="643"/>
        <item x="73"/>
        <item x="264"/>
        <item x="450"/>
        <item x="1"/>
        <item x="620"/>
        <item x="441"/>
        <item x="521"/>
        <item x="348"/>
        <item x="21"/>
        <item x="421"/>
        <item x="58"/>
        <item x="337"/>
        <item x="166"/>
        <item x="59"/>
        <item x="392"/>
        <item x="628"/>
        <item x="430"/>
        <item x="178"/>
        <item x="240"/>
        <item x="308"/>
        <item x="284"/>
        <item x="507"/>
        <item x="479"/>
        <item x="410"/>
        <item x="140"/>
        <item x="107"/>
        <item x="40"/>
        <item x="320"/>
        <item x="497"/>
        <item x="573"/>
        <item x="614"/>
        <item x="296"/>
        <item x="586"/>
        <item x="534"/>
        <item x="91"/>
        <item x="564"/>
        <item x="514"/>
        <item x="542"/>
        <item x="593"/>
        <item x="604"/>
      </items>
    </pivotField>
    <pivotField dataField="1" showAll="0" defaultSubtotal="0">
      <items count="283">
        <item x="230"/>
        <item x="171"/>
        <item x="282"/>
        <item x="275"/>
        <item x="281"/>
        <item x="184"/>
        <item x="231"/>
        <item x="274"/>
        <item x="273"/>
        <item x="272"/>
        <item x="187"/>
        <item x="186"/>
        <item x="185"/>
        <item x="189"/>
        <item x="135"/>
        <item x="182"/>
        <item x="179"/>
        <item x="136"/>
        <item x="139"/>
        <item x="87"/>
        <item x="167"/>
        <item x="114"/>
        <item x="131"/>
        <item x="180"/>
        <item x="140"/>
        <item x="116"/>
        <item x="48"/>
        <item x="137"/>
        <item x="122"/>
        <item x="54"/>
        <item x="93"/>
        <item x="145"/>
        <item x="132"/>
        <item x="133"/>
        <item x="181"/>
        <item x="67"/>
        <item x="123"/>
        <item x="118"/>
        <item x="190"/>
        <item x="138"/>
        <item x="146"/>
        <item x="121"/>
        <item x="73"/>
        <item x="119"/>
        <item x="49"/>
        <item x="142"/>
        <item x="115"/>
        <item x="75"/>
        <item x="59"/>
        <item x="120"/>
        <item x="88"/>
        <item x="78"/>
        <item x="77"/>
        <item x="99"/>
        <item x="126"/>
        <item x="92"/>
        <item x="124"/>
        <item x="144"/>
        <item x="257"/>
        <item x="170"/>
        <item x="91"/>
        <item x="51"/>
        <item x="52"/>
        <item x="70"/>
        <item x="106"/>
        <item x="157"/>
        <item x="76"/>
        <item x="58"/>
        <item x="89"/>
        <item x="57"/>
        <item x="55"/>
        <item x="160"/>
        <item x="270"/>
        <item x="69"/>
        <item x="109"/>
        <item x="117"/>
        <item x="227"/>
        <item x="53"/>
        <item x="183"/>
        <item x="74"/>
        <item x="66"/>
        <item x="141"/>
        <item x="90"/>
        <item x="56"/>
        <item x="226"/>
        <item x="161"/>
        <item x="192"/>
        <item x="178"/>
        <item x="127"/>
        <item x="62"/>
        <item x="83"/>
        <item x="175"/>
        <item x="108"/>
        <item x="41"/>
        <item x="195"/>
        <item x="50"/>
        <item x="202"/>
        <item x="143"/>
        <item x="197"/>
        <item x="85"/>
        <item x="61"/>
        <item x="40"/>
        <item x="86"/>
        <item x="177"/>
        <item x="148"/>
        <item x="80"/>
        <item x="71"/>
        <item x="201"/>
        <item x="46"/>
        <item x="125"/>
        <item x="155"/>
        <item x="236"/>
        <item x="154"/>
        <item x="72"/>
        <item x="229"/>
        <item x="255"/>
        <item x="84"/>
        <item x="98"/>
        <item x="129"/>
        <item x="237"/>
        <item x="165"/>
        <item x="130"/>
        <item x="200"/>
        <item x="107"/>
        <item x="113"/>
        <item x="112"/>
        <item x="228"/>
        <item x="103"/>
        <item x="176"/>
        <item x="149"/>
        <item x="159"/>
        <item x="128"/>
        <item x="166"/>
        <item x="169"/>
        <item x="158"/>
        <item x="105"/>
        <item x="104"/>
        <item x="276"/>
        <item x="193"/>
        <item x="68"/>
        <item x="271"/>
        <item x="134"/>
        <item x="43"/>
        <item x="110"/>
        <item x="223"/>
        <item x="164"/>
        <item x="233"/>
        <item x="111"/>
        <item x="211"/>
        <item x="63"/>
        <item x="250"/>
        <item x="174"/>
        <item x="79"/>
        <item x="188"/>
        <item x="256"/>
        <item x="153"/>
        <item x="64"/>
        <item x="252"/>
        <item x="95"/>
        <item x="102"/>
        <item x="222"/>
        <item x="247"/>
        <item x="251"/>
        <item x="156"/>
        <item x="199"/>
        <item x="172"/>
        <item x="249"/>
        <item x="100"/>
        <item x="173"/>
        <item x="279"/>
        <item x="150"/>
        <item x="235"/>
        <item x="194"/>
        <item x="168"/>
        <item x="65"/>
        <item x="152"/>
        <item x="261"/>
        <item x="264"/>
        <item x="47"/>
        <item x="82"/>
        <item x="239"/>
        <item x="225"/>
        <item x="262"/>
        <item x="162"/>
        <item x="163"/>
        <item x="248"/>
        <item x="198"/>
        <item x="259"/>
        <item x="268"/>
        <item x="151"/>
        <item x="101"/>
        <item x="45"/>
        <item x="232"/>
        <item x="269"/>
        <item x="224"/>
        <item x="234"/>
        <item x="221"/>
        <item x="253"/>
        <item x="263"/>
        <item x="60"/>
        <item x="245"/>
        <item x="260"/>
        <item x="280"/>
        <item x="212"/>
        <item x="42"/>
        <item x="254"/>
        <item x="238"/>
        <item x="213"/>
        <item x="220"/>
        <item x="44"/>
        <item x="81"/>
        <item x="278"/>
        <item x="246"/>
        <item x="196"/>
        <item x="266"/>
        <item x="219"/>
        <item x="218"/>
        <item x="97"/>
        <item x="277"/>
        <item x="267"/>
        <item x="265"/>
        <item x="94"/>
        <item x="191"/>
        <item x="214"/>
        <item x="217"/>
        <item x="216"/>
        <item x="258"/>
        <item x="243"/>
        <item x="96"/>
        <item x="27"/>
        <item x="240"/>
        <item x="215"/>
        <item x="244"/>
        <item x="147"/>
        <item x="209"/>
        <item x="203"/>
        <item x="39"/>
        <item x="205"/>
        <item x="241"/>
        <item x="242"/>
        <item x="37"/>
        <item x="38"/>
        <item x="206"/>
        <item x="36"/>
        <item x="30"/>
        <item x="207"/>
        <item x="208"/>
        <item x="210"/>
        <item x="34"/>
        <item x="7"/>
        <item x="29"/>
        <item x="35"/>
        <item x="17"/>
        <item x="32"/>
        <item x="31"/>
        <item x="26"/>
        <item x="33"/>
        <item x="204"/>
        <item x="21"/>
        <item x="22"/>
        <item x="19"/>
        <item x="18"/>
        <item x="15"/>
        <item x="9"/>
        <item x="10"/>
        <item x="16"/>
        <item x="23"/>
        <item x="28"/>
        <item x="25"/>
        <item x="12"/>
        <item x="13"/>
        <item x="24"/>
        <item x="11"/>
        <item x="14"/>
        <item x="1"/>
        <item x="6"/>
        <item x="2"/>
        <item x="20"/>
        <item x="3"/>
        <item x="8"/>
        <item x="5"/>
        <item x="4"/>
        <item x="0"/>
      </items>
    </pivotField>
    <pivotField dataField="1" showAll="0" defaultSubtotal="0">
      <items count="599">
        <item x="328"/>
        <item x="222"/>
        <item x="595"/>
        <item x="587"/>
        <item x="539"/>
        <item x="334"/>
        <item x="255"/>
        <item x="519"/>
        <item x="596"/>
        <item x="556"/>
        <item x="471"/>
        <item x="315"/>
        <item x="496"/>
        <item x="577"/>
        <item x="421"/>
        <item x="524"/>
        <item x="572"/>
        <item x="223"/>
        <item x="523"/>
        <item x="87"/>
        <item x="517"/>
        <item x="398"/>
        <item x="564"/>
        <item x="578"/>
        <item x="48"/>
        <item x="316"/>
        <item x="541"/>
        <item x="588"/>
        <item x="484"/>
        <item x="504"/>
        <item x="53"/>
        <item x="201"/>
        <item x="277"/>
        <item x="426"/>
        <item x="215"/>
        <item x="153"/>
        <item x="499"/>
        <item x="453"/>
        <item x="230"/>
        <item x="343"/>
        <item x="7"/>
        <item x="443"/>
        <item x="27"/>
        <item x="454"/>
        <item x="532"/>
        <item x="302"/>
        <item x="258"/>
        <item x="112"/>
        <item x="182"/>
        <item x="520"/>
        <item x="144"/>
        <item x="101"/>
        <item x="351"/>
        <item x="469"/>
        <item x="330"/>
        <item x="244"/>
        <item x="17"/>
        <item x="154"/>
        <item x="95"/>
        <item x="414"/>
        <item x="377"/>
        <item x="333"/>
        <item x="270"/>
        <item x="122"/>
        <item x="66"/>
        <item x="162"/>
        <item x="235"/>
        <item x="39"/>
        <item x="381"/>
        <item x="137"/>
        <item x="282"/>
        <item x="369"/>
        <item x="165"/>
        <item x="363"/>
        <item x="266"/>
        <item x="337"/>
        <item x="49"/>
        <item x="547"/>
        <item x="129"/>
        <item x="463"/>
        <item x="111"/>
        <item x="589"/>
        <item x="490"/>
        <item x="370"/>
        <item x="354"/>
        <item x="281"/>
        <item x="157"/>
        <item x="265"/>
        <item x="139"/>
        <item x="58"/>
        <item x="72"/>
        <item x="208"/>
        <item x="438"/>
        <item x="260"/>
        <item x="158"/>
        <item x="19"/>
        <item x="189"/>
        <item x="445"/>
        <item x="193"/>
        <item x="459"/>
        <item x="236"/>
        <item x="177"/>
        <item x="280"/>
        <item x="254"/>
        <item x="37"/>
        <item x="221"/>
        <item x="407"/>
        <item x="141"/>
        <item x="38"/>
        <item x="164"/>
        <item x="74"/>
        <item x="18"/>
        <item x="192"/>
        <item x="259"/>
        <item x="140"/>
        <item x="544"/>
        <item x="332"/>
        <item x="163"/>
        <item x="15"/>
        <item x="437"/>
        <item x="525"/>
        <item x="176"/>
        <item x="130"/>
        <item x="356"/>
        <item x="513"/>
        <item x="307"/>
        <item x="77"/>
        <item x="399"/>
        <item x="125"/>
        <item x="232"/>
        <item x="76"/>
        <item x="306"/>
        <item x="94"/>
        <item x="156"/>
        <item x="51"/>
        <item x="36"/>
        <item x="93"/>
        <item x="9"/>
        <item x="444"/>
        <item x="143"/>
        <item x="290"/>
        <item x="10"/>
        <item x="318"/>
        <item x="88"/>
        <item x="30"/>
        <item x="16"/>
        <item x="128"/>
        <item x="380"/>
        <item x="331"/>
        <item x="488"/>
        <item x="203"/>
        <item x="57"/>
        <item x="218"/>
        <item x="289"/>
        <item x="275"/>
        <item x="345"/>
        <item x="142"/>
        <item x="126"/>
        <item x="56"/>
        <item x="249"/>
        <item x="195"/>
        <item x="54"/>
        <item x="34"/>
        <item x="92"/>
        <item x="220"/>
        <item x="288"/>
        <item x="368"/>
        <item x="387"/>
        <item x="160"/>
        <item x="69"/>
        <item x="110"/>
        <item x="229"/>
        <item x="121"/>
        <item x="470"/>
        <item x="161"/>
        <item x="191"/>
        <item x="245"/>
        <item x="269"/>
        <item x="563"/>
        <item x="75"/>
        <item x="404"/>
        <item x="402"/>
        <item x="52"/>
        <item x="303"/>
        <item x="317"/>
        <item x="305"/>
        <item x="12"/>
        <item x="127"/>
        <item x="304"/>
        <item x="175"/>
        <item x="29"/>
        <item x="179"/>
        <item x="344"/>
        <item x="436"/>
        <item x="35"/>
        <item x="434"/>
        <item x="207"/>
        <item x="410"/>
        <item x="512"/>
        <item x="55"/>
        <item x="123"/>
        <item x="234"/>
        <item x="68"/>
        <item x="187"/>
        <item x="366"/>
        <item x="109"/>
        <item x="13"/>
        <item x="498"/>
        <item x="186"/>
        <item x="355"/>
        <item x="393"/>
        <item x="257"/>
        <item x="428"/>
        <item x="89"/>
        <item x="159"/>
        <item x="373"/>
        <item x="83"/>
        <item x="168"/>
        <item x="211"/>
        <item x="248"/>
        <item x="106"/>
        <item x="11"/>
        <item x="593"/>
        <item x="73"/>
        <item x="202"/>
        <item x="278"/>
        <item x="65"/>
        <item x="506"/>
        <item x="568"/>
        <item x="32"/>
        <item x="41"/>
        <item x="246"/>
        <item x="427"/>
        <item x="479"/>
        <item x="347"/>
        <item x="174"/>
        <item x="50"/>
        <item x="233"/>
        <item x="238"/>
        <item x="422"/>
        <item x="108"/>
        <item x="204"/>
        <item x="486"/>
        <item x="388"/>
        <item x="394"/>
        <item x="107"/>
        <item x="284"/>
        <item x="219"/>
        <item x="319"/>
        <item x="31"/>
        <item x="545"/>
        <item x="102"/>
        <item x="558"/>
        <item x="40"/>
        <item x="14"/>
        <item x="296"/>
        <item x="205"/>
        <item x="180"/>
        <item x="61"/>
        <item x="172"/>
        <item x="26"/>
        <item x="287"/>
        <item x="329"/>
        <item x="190"/>
        <item x="33"/>
        <item x="206"/>
        <item x="379"/>
        <item x="91"/>
        <item x="271"/>
        <item x="518"/>
        <item x="367"/>
        <item x="90"/>
        <item x="131"/>
        <item x="1"/>
        <item x="382"/>
        <item x="279"/>
        <item x="46"/>
        <item x="537"/>
        <item x="6"/>
        <item x="231"/>
        <item x="21"/>
        <item x="320"/>
        <item x="155"/>
        <item x="308"/>
        <item x="492"/>
        <item x="543"/>
        <item x="22"/>
        <item x="2"/>
        <item x="145"/>
        <item x="256"/>
        <item x="353"/>
        <item x="508"/>
        <item x="327"/>
        <item x="401"/>
        <item x="452"/>
        <item x="60"/>
        <item x="82"/>
        <item x="224"/>
        <item x="97"/>
        <item x="389"/>
        <item x="424"/>
        <item x="105"/>
        <item x="294"/>
        <item x="495"/>
        <item x="114"/>
        <item x="462"/>
        <item x="531"/>
        <item x="124"/>
        <item x="338"/>
        <item x="70"/>
        <item x="372"/>
        <item x="173"/>
        <item x="341"/>
        <item x="103"/>
        <item x="400"/>
        <item x="217"/>
        <item x="447"/>
        <item x="348"/>
        <item x="540"/>
        <item x="362"/>
        <item x="429"/>
        <item x="562"/>
        <item x="261"/>
        <item x="85"/>
        <item x="253"/>
        <item x="185"/>
        <item x="586"/>
        <item x="342"/>
        <item x="530"/>
        <item x="295"/>
        <item x="194"/>
        <item x="71"/>
        <item x="171"/>
        <item x="86"/>
        <item x="237"/>
        <item x="324"/>
        <item x="546"/>
        <item x="267"/>
        <item x="188"/>
        <item x="79"/>
        <item x="476"/>
        <item x="536"/>
        <item x="312"/>
        <item x="472"/>
        <item x="598"/>
        <item x="433"/>
        <item x="276"/>
        <item x="181"/>
        <item x="138"/>
        <item x="594"/>
        <item x="468"/>
        <item x="150"/>
        <item x="378"/>
        <item x="352"/>
        <item x="184"/>
        <item x="526"/>
        <item x="497"/>
        <item x="104"/>
        <item x="210"/>
        <item x="113"/>
        <item x="409"/>
        <item x="349"/>
        <item x="503"/>
        <item x="43"/>
        <item x="358"/>
        <item x="340"/>
        <item x="84"/>
        <item x="147"/>
        <item x="561"/>
        <item x="461"/>
        <item x="148"/>
        <item x="311"/>
        <item x="242"/>
        <item x="228"/>
        <item x="133"/>
        <item x="390"/>
        <item x="441"/>
        <item x="456"/>
        <item x="293"/>
        <item x="100"/>
        <item x="167"/>
        <item x="359"/>
        <item x="298"/>
        <item x="183"/>
        <item x="435"/>
        <item x="117"/>
        <item x="582"/>
        <item x="213"/>
        <item x="477"/>
        <item x="285"/>
        <item x="67"/>
        <item x="580"/>
        <item x="376"/>
        <item x="23"/>
        <item x="339"/>
        <item x="478"/>
        <item x="458"/>
        <item x="571"/>
        <item x="392"/>
        <item x="510"/>
        <item x="225"/>
        <item x="549"/>
        <item x="28"/>
        <item x="350"/>
        <item x="591"/>
        <item x="442"/>
        <item x="451"/>
        <item x="502"/>
        <item x="314"/>
        <item x="494"/>
        <item x="483"/>
        <item x="3"/>
        <item x="482"/>
        <item x="62"/>
        <item x="528"/>
        <item x="8"/>
        <item x="375"/>
        <item x="116"/>
        <item x="268"/>
        <item x="322"/>
        <item x="199"/>
        <item x="292"/>
        <item x="538"/>
        <item x="299"/>
        <item x="565"/>
        <item x="489"/>
        <item x="25"/>
        <item x="505"/>
        <item x="383"/>
        <item x="335"/>
        <item x="5"/>
        <item x="411"/>
        <item x="386"/>
        <item x="169"/>
        <item x="63"/>
        <item x="47"/>
        <item x="326"/>
        <item x="397"/>
        <item x="425"/>
        <item x="300"/>
        <item x="417"/>
        <item x="466"/>
        <item x="301"/>
        <item x="419"/>
        <item x="313"/>
        <item x="216"/>
        <item x="559"/>
        <item x="120"/>
        <item x="152"/>
        <item x="408"/>
        <item x="309"/>
        <item x="241"/>
        <item x="119"/>
        <item x="78"/>
        <item x="360"/>
        <item x="415"/>
        <item x="420"/>
        <item x="132"/>
        <item x="200"/>
        <item x="243"/>
        <item x="274"/>
        <item x="585"/>
        <item x="286"/>
        <item x="99"/>
        <item x="45"/>
        <item x="460"/>
        <item x="24"/>
        <item x="64"/>
        <item x="583"/>
        <item x="374"/>
        <item x="413"/>
        <item x="323"/>
        <item x="467"/>
        <item x="448"/>
        <item x="475"/>
        <item x="170"/>
        <item x="511"/>
        <item x="431"/>
        <item x="247"/>
        <item x="403"/>
        <item x="135"/>
        <item x="151"/>
        <item x="214"/>
        <item x="149"/>
        <item x="405"/>
        <item x="198"/>
        <item x="384"/>
        <item x="361"/>
        <item x="412"/>
        <item x="136"/>
        <item x="166"/>
        <item x="522"/>
        <item x="325"/>
        <item x="395"/>
        <item x="450"/>
        <item x="96"/>
        <item x="487"/>
        <item x="535"/>
        <item x="115"/>
        <item x="4"/>
        <item x="240"/>
        <item x="365"/>
        <item x="555"/>
        <item x="473"/>
        <item x="118"/>
        <item x="521"/>
        <item x="81"/>
        <item x="576"/>
        <item x="416"/>
        <item x="42"/>
        <item x="515"/>
        <item x="592"/>
        <item x="439"/>
        <item x="575"/>
        <item x="446"/>
        <item x="507"/>
        <item x="548"/>
        <item x="134"/>
        <item x="552"/>
        <item x="396"/>
        <item x="406"/>
        <item x="432"/>
        <item x="465"/>
        <item x="430"/>
        <item x="59"/>
        <item x="321"/>
        <item x="44"/>
        <item x="264"/>
        <item x="98"/>
        <item x="385"/>
        <item x="481"/>
        <item x="0"/>
        <item x="491"/>
        <item x="529"/>
        <item x="570"/>
        <item x="533"/>
        <item x="418"/>
        <item x="20"/>
        <item x="440"/>
        <item x="310"/>
        <item x="509"/>
        <item x="574"/>
        <item x="584"/>
        <item x="550"/>
        <item x="501"/>
        <item x="449"/>
        <item x="391"/>
        <item x="457"/>
        <item x="262"/>
        <item x="500"/>
        <item x="252"/>
        <item x="371"/>
        <item x="336"/>
        <item x="291"/>
        <item x="542"/>
        <item x="567"/>
        <item x="226"/>
        <item x="560"/>
        <item x="196"/>
        <item x="579"/>
        <item x="197"/>
        <item x="297"/>
        <item x="455"/>
        <item x="227"/>
        <item x="212"/>
        <item x="474"/>
        <item x="239"/>
        <item x="485"/>
        <item x="273"/>
        <item x="423"/>
        <item x="251"/>
        <item x="516"/>
        <item x="464"/>
        <item x="493"/>
        <item x="209"/>
        <item x="146"/>
        <item x="480"/>
        <item x="590"/>
        <item x="80"/>
        <item x="250"/>
        <item x="364"/>
        <item x="178"/>
        <item x="263"/>
        <item x="527"/>
        <item x="581"/>
        <item x="534"/>
        <item x="272"/>
        <item x="346"/>
        <item x="283"/>
        <item x="554"/>
        <item x="557"/>
        <item x="553"/>
        <item x="357"/>
        <item x="551"/>
        <item x="566"/>
        <item x="569"/>
        <item x="597"/>
        <item x="514"/>
        <item x="573"/>
      </items>
    </pivotField>
    <pivotField dataField="1" showAll="0" defaultSubtotal="0">
      <items count="14">
        <item x="5"/>
        <item x="8"/>
        <item x="4"/>
        <item x="2"/>
        <item x="10"/>
        <item x="3"/>
        <item x="7"/>
        <item x="13"/>
        <item x="12"/>
        <item x="1"/>
        <item x="11"/>
        <item x="6"/>
        <item x="9"/>
        <item x="0"/>
      </items>
    </pivotField>
    <pivotField showAll="0" defaultSubtotal="0">
      <items count="42">
        <item x="5"/>
        <item x="8"/>
        <item x="4"/>
        <item x="12"/>
        <item x="2"/>
        <item x="14"/>
        <item x="3"/>
        <item x="7"/>
        <item x="11"/>
        <item x="13"/>
        <item x="1"/>
        <item x="32"/>
        <item x="36"/>
        <item x="17"/>
        <item x="6"/>
        <item x="9"/>
        <item x="31"/>
        <item x="30"/>
        <item x="16"/>
        <item x="15"/>
        <item x="21"/>
        <item x="38"/>
        <item x="0"/>
        <item x="34"/>
        <item x="18"/>
        <item x="33"/>
        <item x="10"/>
        <item x="24"/>
        <item x="39"/>
        <item x="35"/>
        <item x="27"/>
        <item x="37"/>
        <item x="41"/>
        <item x="22"/>
        <item x="26"/>
        <item x="25"/>
        <item x="20"/>
        <item x="40"/>
        <item x="19"/>
        <item x="29"/>
        <item x="28"/>
        <item x="23"/>
      </items>
    </pivotField>
  </pivotFields>
  <rowFields count="3">
    <field x="5"/>
    <field x="10"/>
    <field x="9"/>
  </rowFields>
  <rowItems count="1401">
    <i>
      <x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1"/>
    </i>
    <i r="1">
      <x v="5"/>
      <x v="2"/>
    </i>
    <i r="1">
      <x v="6"/>
      <x v="27"/>
    </i>
    <i r="1">
      <x v="7"/>
      <x v="44"/>
    </i>
    <i r="1">
      <x v="8"/>
      <x v="3"/>
    </i>
    <i r="1">
      <x v="9"/>
      <x v="43"/>
    </i>
    <i r="1">
      <x v="10"/>
      <x v="35"/>
    </i>
    <i r="1">
      <x v="11"/>
      <x v="26"/>
    </i>
    <i r="1">
      <x v="12"/>
      <x v="28"/>
    </i>
    <i r="1">
      <x v="13"/>
      <x v="36"/>
    </i>
    <i r="1">
      <x v="14"/>
      <x v="32"/>
    </i>
    <i r="1">
      <x v="15"/>
      <x v="11"/>
    </i>
    <i r="1">
      <x v="16"/>
      <x v="24"/>
    </i>
    <i r="1">
      <x v="17"/>
      <x v="41"/>
    </i>
    <i r="1">
      <x v="18"/>
      <x v="50"/>
    </i>
    <i r="1">
      <x v="19"/>
      <x v="13"/>
    </i>
    <i t="blank">
      <x/>
    </i>
    <i>
      <x v="1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1"/>
    </i>
    <i r="1">
      <x v="5"/>
      <x v="2"/>
    </i>
    <i r="1">
      <x v="6"/>
      <x v="27"/>
    </i>
    <i r="1">
      <x v="7"/>
      <x v="44"/>
    </i>
    <i r="1">
      <x v="8"/>
      <x v="3"/>
    </i>
    <i r="1">
      <x v="9"/>
      <x v="35"/>
    </i>
    <i r="1">
      <x v="10"/>
      <x v="43"/>
    </i>
    <i r="1">
      <x v="11"/>
      <x v="26"/>
    </i>
    <i r="1">
      <x v="12"/>
      <x v="36"/>
    </i>
    <i r="1">
      <x v="13"/>
      <x v="32"/>
    </i>
    <i r="1">
      <x v="14"/>
      <x v="28"/>
    </i>
    <i r="1">
      <x v="15"/>
      <x v="24"/>
    </i>
    <i r="1">
      <x v="16"/>
      <x v="50"/>
    </i>
    <i r="1">
      <x v="17"/>
      <x v="11"/>
    </i>
    <i r="1">
      <x v="18"/>
      <x v="25"/>
    </i>
    <i r="1">
      <x v="19"/>
      <x v="41"/>
    </i>
    <i t="blank">
      <x v="1"/>
    </i>
    <i>
      <x v="2"/>
    </i>
    <i r="1">
      <x/>
      <x v="38"/>
    </i>
    <i r="1">
      <x v="1"/>
      <x v="40"/>
    </i>
    <i r="1">
      <x v="2"/>
      <x v="33"/>
    </i>
    <i r="1">
      <x v="3"/>
      <x v="29"/>
    </i>
    <i r="1">
      <x v="4"/>
      <x v="3"/>
    </i>
    <i r="1">
      <x v="5"/>
      <x v="2"/>
    </i>
    <i r="1">
      <x v="6"/>
      <x v="27"/>
    </i>
    <i r="1">
      <x v="7"/>
      <x v="1"/>
    </i>
    <i r="1">
      <x v="8"/>
      <x v="44"/>
    </i>
    <i r="1">
      <x v="9"/>
      <x v="43"/>
    </i>
    <i r="1">
      <x v="10"/>
      <x v="11"/>
    </i>
    <i r="2">
      <x v="26"/>
    </i>
    <i r="1">
      <x v="12"/>
      <x v="28"/>
    </i>
    <i r="1">
      <x v="13"/>
      <x v="13"/>
    </i>
    <i r="1">
      <x v="14"/>
      <x v="35"/>
    </i>
    <i r="1">
      <x v="15"/>
      <x v="36"/>
    </i>
    <i r="1">
      <x v="16"/>
      <x v="32"/>
    </i>
    <i r="1">
      <x v="17"/>
      <x v="23"/>
    </i>
    <i r="1">
      <x v="18"/>
      <x v="24"/>
    </i>
    <i r="1">
      <x v="19"/>
      <x v="25"/>
    </i>
    <i t="blank">
      <x v="2"/>
    </i>
    <i>
      <x v="3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2"/>
    </i>
    <i r="1">
      <x v="5"/>
      <x v="3"/>
    </i>
    <i r="1">
      <x v="6"/>
      <x v="27"/>
    </i>
    <i r="1">
      <x v="7"/>
      <x v="44"/>
    </i>
    <i r="1">
      <x v="8"/>
      <x v="1"/>
    </i>
    <i r="1">
      <x v="9"/>
      <x v="35"/>
    </i>
    <i r="1">
      <x v="10"/>
      <x v="43"/>
    </i>
    <i r="1">
      <x v="11"/>
      <x v="36"/>
    </i>
    <i r="1">
      <x v="12"/>
      <x v="32"/>
    </i>
    <i r="1">
      <x v="13"/>
      <x v="26"/>
    </i>
    <i r="1">
      <x v="14"/>
      <x v="22"/>
    </i>
    <i r="1">
      <x v="15"/>
      <x v="28"/>
    </i>
    <i r="1">
      <x v="16"/>
      <x v="50"/>
    </i>
    <i r="1">
      <x v="17"/>
      <x v="24"/>
    </i>
    <i r="1">
      <x v="18"/>
      <x v="45"/>
    </i>
    <i r="1">
      <x v="19"/>
      <x v="25"/>
    </i>
    <i t="blank">
      <x v="3"/>
    </i>
    <i>
      <x v="4"/>
    </i>
    <i r="1">
      <x/>
      <x v="33"/>
    </i>
    <i r="1">
      <x v="1"/>
      <x v="38"/>
    </i>
    <i r="1">
      <x v="2"/>
      <x v="26"/>
    </i>
    <i r="1">
      <x v="3"/>
      <x v="29"/>
    </i>
    <i r="1">
      <x v="4"/>
      <x v="35"/>
    </i>
    <i r="1">
      <x v="5"/>
      <x v="40"/>
    </i>
    <i r="1">
      <x v="6"/>
      <x v="27"/>
    </i>
    <i r="1">
      <x v="7"/>
      <x v="1"/>
    </i>
    <i r="1">
      <x v="8"/>
      <x v="32"/>
    </i>
    <i r="1">
      <x v="9"/>
      <x v="44"/>
    </i>
    <i r="1">
      <x v="10"/>
      <x v="43"/>
    </i>
    <i r="1">
      <x v="11"/>
      <x v="2"/>
    </i>
    <i r="2">
      <x v="3"/>
    </i>
    <i r="1">
      <x v="13"/>
      <x v="50"/>
    </i>
    <i r="1">
      <x v="14"/>
      <x v="24"/>
    </i>
    <i r="1">
      <x v="15"/>
      <x v="36"/>
    </i>
    <i r="1">
      <x v="16"/>
      <x v="25"/>
    </i>
    <i r="1">
      <x v="17"/>
      <x v="41"/>
    </i>
    <i r="1">
      <x v="18"/>
      <x v="17"/>
    </i>
    <i r="1">
      <x v="19"/>
      <x v="28"/>
    </i>
    <i t="blank">
      <x v="4"/>
    </i>
    <i>
      <x v="5"/>
    </i>
    <i r="1">
      <x/>
      <x v="38"/>
    </i>
    <i r="1">
      <x v="1"/>
      <x v="35"/>
    </i>
    <i r="1">
      <x v="2"/>
      <x v="33"/>
    </i>
    <i r="1">
      <x v="3"/>
      <x v="29"/>
    </i>
    <i r="1">
      <x v="4"/>
      <x v="40"/>
    </i>
    <i r="1">
      <x v="5"/>
      <x v="26"/>
    </i>
    <i r="1">
      <x v="6"/>
      <x v="44"/>
    </i>
    <i r="1">
      <x v="7"/>
      <x v="27"/>
    </i>
    <i r="1">
      <x v="8"/>
      <x v="36"/>
    </i>
    <i r="1">
      <x v="9"/>
      <x v="32"/>
    </i>
    <i r="1">
      <x v="10"/>
      <x v="1"/>
    </i>
    <i r="1">
      <x v="11"/>
      <x v="2"/>
    </i>
    <i r="1">
      <x v="12"/>
      <x v="50"/>
    </i>
    <i r="1">
      <x v="13"/>
      <x v="24"/>
    </i>
    <i r="1">
      <x v="14"/>
      <x v="43"/>
    </i>
    <i r="1">
      <x v="15"/>
      <x v="21"/>
    </i>
    <i r="1">
      <x v="16"/>
      <x v="3"/>
    </i>
    <i r="1">
      <x v="17"/>
      <x v="25"/>
    </i>
    <i r="1">
      <x v="18"/>
      <x v="41"/>
    </i>
    <i r="1">
      <x v="19"/>
      <x v="37"/>
    </i>
    <i t="blank">
      <x v="5"/>
    </i>
    <i>
      <x v="6"/>
    </i>
    <i r="1">
      <x/>
      <x v="38"/>
    </i>
    <i r="1">
      <x v="1"/>
      <x v="40"/>
    </i>
    <i r="1">
      <x v="2"/>
      <x v="33"/>
    </i>
    <i r="1">
      <x v="3"/>
      <x v="29"/>
    </i>
    <i r="1">
      <x v="4"/>
      <x v="27"/>
    </i>
    <i r="1">
      <x v="5"/>
      <x v="2"/>
    </i>
    <i r="1">
      <x v="6"/>
      <x v="1"/>
    </i>
    <i r="1">
      <x v="7"/>
      <x v="3"/>
    </i>
    <i r="1">
      <x v="8"/>
      <x v="44"/>
    </i>
    <i r="1">
      <x v="9"/>
      <x v="26"/>
    </i>
    <i r="1">
      <x v="10"/>
      <x v="43"/>
    </i>
    <i r="1">
      <x v="11"/>
      <x v="28"/>
    </i>
    <i r="1">
      <x v="12"/>
      <x v="32"/>
    </i>
    <i r="1">
      <x v="13"/>
      <x v="8"/>
    </i>
    <i r="1">
      <x v="14"/>
      <x v="35"/>
    </i>
    <i r="1">
      <x v="15"/>
      <x v="36"/>
    </i>
    <i r="1">
      <x v="16"/>
      <x v="23"/>
    </i>
    <i r="1">
      <x v="17"/>
      <x v="25"/>
    </i>
    <i r="1">
      <x v="18"/>
      <x v="41"/>
    </i>
    <i r="1">
      <x v="19"/>
      <x v="50"/>
    </i>
    <i t="blank">
      <x v="6"/>
    </i>
    <i>
      <x v="7"/>
    </i>
    <i r="1">
      <x/>
      <x v="38"/>
    </i>
    <i r="1">
      <x v="1"/>
      <x v="33"/>
    </i>
    <i r="1">
      <x v="2"/>
      <x v="40"/>
    </i>
    <i r="1">
      <x v="3"/>
      <x v="27"/>
    </i>
    <i r="1">
      <x v="4"/>
      <x v="29"/>
    </i>
    <i r="1">
      <x v="5"/>
      <x v="1"/>
    </i>
    <i r="1">
      <x v="6"/>
      <x v="2"/>
    </i>
    <i r="1">
      <x v="7"/>
      <x v="3"/>
    </i>
    <i r="1">
      <x v="8"/>
      <x v="44"/>
    </i>
    <i r="1">
      <x v="9"/>
      <x v="43"/>
    </i>
    <i r="1">
      <x v="10"/>
      <x v="32"/>
    </i>
    <i r="1">
      <x v="11"/>
      <x v="26"/>
    </i>
    <i r="2">
      <x v="36"/>
    </i>
    <i r="1">
      <x v="13"/>
      <x v="28"/>
    </i>
    <i r="1">
      <x v="14"/>
      <x v="35"/>
    </i>
    <i r="1">
      <x v="15"/>
      <x v="41"/>
    </i>
    <i r="1">
      <x v="16"/>
      <x v="25"/>
    </i>
    <i r="2">
      <x v="45"/>
    </i>
    <i r="1">
      <x v="18"/>
      <x v="24"/>
    </i>
    <i r="1">
      <x v="19"/>
      <x v="48"/>
    </i>
    <i t="blank">
      <x v="7"/>
    </i>
    <i>
      <x v="8"/>
    </i>
    <i r="1">
      <x/>
      <x v="38"/>
    </i>
    <i r="1">
      <x v="1"/>
      <x v="33"/>
    </i>
    <i r="1">
      <x v="2"/>
      <x v="40"/>
    </i>
    <i r="1">
      <x v="3"/>
      <x v="29"/>
    </i>
    <i r="1">
      <x v="4"/>
      <x v="2"/>
    </i>
    <i r="2">
      <x v="27"/>
    </i>
    <i r="1">
      <x v="6"/>
      <x v="1"/>
    </i>
    <i r="1">
      <x v="7"/>
      <x v="3"/>
    </i>
    <i r="1">
      <x v="8"/>
      <x v="44"/>
    </i>
    <i r="1">
      <x v="9"/>
      <x v="43"/>
    </i>
    <i r="1">
      <x v="10"/>
      <x v="36"/>
    </i>
    <i r="1">
      <x v="11"/>
      <x v="35"/>
    </i>
    <i r="1">
      <x v="12"/>
      <x v="26"/>
    </i>
    <i r="1">
      <x v="13"/>
      <x v="28"/>
    </i>
    <i r="2">
      <x v="32"/>
    </i>
    <i r="1">
      <x v="15"/>
      <x v="45"/>
    </i>
    <i r="1">
      <x v="16"/>
      <x v="24"/>
    </i>
    <i r="1">
      <x v="17"/>
      <x v="41"/>
    </i>
    <i r="1">
      <x v="18"/>
      <x v="50"/>
    </i>
    <i r="1">
      <x v="19"/>
      <x v="17"/>
    </i>
    <i r="2">
      <x v="25"/>
    </i>
    <i t="blank">
      <x v="8"/>
    </i>
    <i>
      <x v="9"/>
    </i>
    <i r="1">
      <x/>
      <x v="33"/>
    </i>
    <i r="1">
      <x v="1"/>
      <x v="40"/>
    </i>
    <i r="1">
      <x v="2"/>
      <x v="38"/>
    </i>
    <i r="1">
      <x v="3"/>
      <x v="29"/>
    </i>
    <i r="1">
      <x v="4"/>
      <x v="1"/>
    </i>
    <i r="1">
      <x v="5"/>
      <x v="27"/>
    </i>
    <i r="1">
      <x v="6"/>
      <x v="44"/>
    </i>
    <i r="1">
      <x v="7"/>
      <x v="43"/>
    </i>
    <i r="1">
      <x v="8"/>
      <x v="2"/>
    </i>
    <i r="1">
      <x v="9"/>
      <x v="26"/>
    </i>
    <i r="1">
      <x v="10"/>
      <x v="3"/>
    </i>
    <i r="2">
      <x v="35"/>
    </i>
    <i r="1">
      <x v="12"/>
      <x v="36"/>
    </i>
    <i r="1">
      <x v="13"/>
      <x v="24"/>
    </i>
    <i r="1">
      <x v="14"/>
      <x v="22"/>
    </i>
    <i r="2">
      <x v="32"/>
    </i>
    <i r="1">
      <x v="16"/>
      <x v="23"/>
    </i>
    <i r="2">
      <x v="28"/>
    </i>
    <i r="1">
      <x v="18"/>
      <x v="25"/>
    </i>
    <i r="1">
      <x v="19"/>
      <x v="41"/>
    </i>
    <i t="blank">
      <x v="9"/>
    </i>
    <i>
      <x v="10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44"/>
    </i>
    <i r="1">
      <x v="5"/>
      <x v="1"/>
    </i>
    <i r="1">
      <x v="6"/>
      <x v="11"/>
    </i>
    <i r="1">
      <x v="7"/>
      <x v="2"/>
    </i>
    <i r="2">
      <x v="27"/>
    </i>
    <i r="1">
      <x v="9"/>
      <x v="35"/>
    </i>
    <i r="1">
      <x v="10"/>
      <x v="3"/>
    </i>
    <i r="1">
      <x v="11"/>
      <x v="43"/>
    </i>
    <i r="1">
      <x v="12"/>
      <x v="32"/>
    </i>
    <i r="1">
      <x v="13"/>
      <x v="13"/>
    </i>
    <i r="1">
      <x v="14"/>
      <x v="36"/>
    </i>
    <i r="1">
      <x v="15"/>
      <x v="24"/>
    </i>
    <i r="2">
      <x v="26"/>
    </i>
    <i r="1">
      <x v="17"/>
      <x v="28"/>
    </i>
    <i r="1">
      <x v="18"/>
      <x v="50"/>
    </i>
    <i r="1">
      <x v="19"/>
      <x v="17"/>
    </i>
    <i r="2">
      <x v="25"/>
    </i>
    <i t="blank">
      <x v="10"/>
    </i>
    <i>
      <x v="11"/>
    </i>
    <i r="1">
      <x/>
      <x v="40"/>
    </i>
    <i r="1">
      <x v="1"/>
      <x v="38"/>
    </i>
    <i r="1">
      <x v="2"/>
      <x v="33"/>
    </i>
    <i r="1">
      <x v="3"/>
      <x v="1"/>
    </i>
    <i r="1">
      <x v="4"/>
      <x v="2"/>
    </i>
    <i r="1">
      <x v="5"/>
      <x v="29"/>
    </i>
    <i r="1">
      <x v="6"/>
      <x v="3"/>
    </i>
    <i r="2">
      <x v="43"/>
    </i>
    <i r="1">
      <x v="8"/>
      <x v="44"/>
    </i>
    <i r="1">
      <x v="9"/>
      <x v="27"/>
    </i>
    <i r="1">
      <x v="10"/>
      <x v="35"/>
    </i>
    <i r="1">
      <x v="11"/>
      <x v="26"/>
    </i>
    <i r="1">
      <x v="12"/>
      <x v="28"/>
    </i>
    <i r="1">
      <x v="13"/>
      <x v="32"/>
    </i>
    <i r="1">
      <x v="14"/>
      <x v="36"/>
    </i>
    <i r="1">
      <x v="15"/>
      <x v="41"/>
    </i>
    <i r="1">
      <x v="16"/>
      <x v="24"/>
    </i>
    <i r="1">
      <x v="17"/>
      <x v="45"/>
    </i>
    <i r="1">
      <x v="18"/>
      <x v="23"/>
    </i>
    <i r="1">
      <x v="19"/>
      <x v="50"/>
    </i>
    <i t="blank">
      <x v="11"/>
    </i>
    <i>
      <x v="12"/>
    </i>
    <i r="1">
      <x/>
      <x v="33"/>
    </i>
    <i r="1">
      <x v="1"/>
      <x v="40"/>
    </i>
    <i r="1">
      <x v="2"/>
      <x v="38"/>
    </i>
    <i r="1">
      <x v="3"/>
      <x v="1"/>
    </i>
    <i r="1">
      <x v="4"/>
      <x v="29"/>
    </i>
    <i r="1">
      <x v="5"/>
      <x v="2"/>
    </i>
    <i r="1">
      <x v="6"/>
      <x v="43"/>
    </i>
    <i r="1">
      <x v="7"/>
      <x v="44"/>
    </i>
    <i r="1">
      <x v="8"/>
      <x v="3"/>
    </i>
    <i r="2">
      <x v="27"/>
    </i>
    <i r="1">
      <x v="10"/>
      <x v="35"/>
    </i>
    <i r="1">
      <x v="11"/>
      <x v="36"/>
    </i>
    <i r="1">
      <x v="12"/>
      <x v="32"/>
    </i>
    <i r="1">
      <x v="13"/>
      <x v="26"/>
    </i>
    <i r="1">
      <x v="14"/>
      <x v="28"/>
    </i>
    <i r="1">
      <x v="15"/>
      <x v="41"/>
    </i>
    <i r="1">
      <x v="16"/>
      <x v="31"/>
    </i>
    <i r="1">
      <x v="17"/>
      <x v="45"/>
    </i>
    <i r="1">
      <x v="18"/>
      <x v="50"/>
    </i>
    <i r="1">
      <x v="19"/>
      <x v="19"/>
    </i>
    <i r="2">
      <x v="42"/>
    </i>
    <i t="blank">
      <x v="12"/>
    </i>
    <i>
      <x v="13"/>
    </i>
    <i r="1">
      <x/>
      <x v="40"/>
    </i>
    <i r="1">
      <x v="1"/>
      <x v="38"/>
    </i>
    <i r="1">
      <x v="2"/>
      <x v="33"/>
    </i>
    <i r="1">
      <x v="3"/>
      <x v="2"/>
    </i>
    <i r="1">
      <x v="4"/>
      <x v="1"/>
    </i>
    <i r="1">
      <x v="5"/>
      <x v="3"/>
    </i>
    <i r="1">
      <x v="6"/>
      <x v="29"/>
    </i>
    <i r="1">
      <x v="7"/>
      <x v="27"/>
    </i>
    <i r="1">
      <x v="8"/>
      <x v="43"/>
    </i>
    <i r="1">
      <x v="9"/>
      <x v="44"/>
    </i>
    <i r="1">
      <x v="10"/>
      <x v="28"/>
    </i>
    <i r="1">
      <x v="11"/>
      <x v="36"/>
    </i>
    <i r="1">
      <x v="12"/>
      <x v="35"/>
    </i>
    <i r="1">
      <x v="13"/>
      <x v="26"/>
    </i>
    <i r="1">
      <x v="14"/>
      <x v="24"/>
    </i>
    <i r="1">
      <x v="15"/>
      <x v="32"/>
    </i>
    <i r="1">
      <x v="16"/>
      <x v="45"/>
    </i>
    <i r="1">
      <x v="17"/>
      <x v="41"/>
    </i>
    <i r="2">
      <x v="47"/>
    </i>
    <i r="1">
      <x v="19"/>
      <x v="50"/>
    </i>
    <i t="blank">
      <x v="13"/>
    </i>
    <i>
      <x v="14"/>
    </i>
    <i r="1">
      <x/>
      <x v="40"/>
    </i>
    <i r="1">
      <x v="1"/>
      <x v="38"/>
    </i>
    <i r="1">
      <x v="2"/>
      <x v="33"/>
    </i>
    <i r="1">
      <x v="3"/>
      <x v="1"/>
    </i>
    <i r="1">
      <x v="4"/>
      <x v="2"/>
    </i>
    <i r="1">
      <x v="5"/>
      <x v="29"/>
    </i>
    <i r="1">
      <x v="6"/>
      <x v="3"/>
    </i>
    <i r="1">
      <x v="7"/>
      <x v="44"/>
    </i>
    <i r="1">
      <x v="8"/>
      <x v="27"/>
    </i>
    <i r="1">
      <x v="9"/>
      <x v="43"/>
    </i>
    <i r="1">
      <x v="10"/>
      <x v="35"/>
    </i>
    <i r="1">
      <x v="11"/>
      <x v="36"/>
    </i>
    <i r="1">
      <x v="12"/>
      <x v="24"/>
    </i>
    <i r="2">
      <x v="28"/>
    </i>
    <i r="1">
      <x v="14"/>
      <x v="26"/>
    </i>
    <i r="1">
      <x v="15"/>
      <x v="32"/>
    </i>
    <i r="1">
      <x v="16"/>
      <x v="25"/>
    </i>
    <i r="2">
      <x v="50"/>
    </i>
    <i r="1">
      <x v="18"/>
      <x v="23"/>
    </i>
    <i r="1">
      <x v="19"/>
      <x v="41"/>
    </i>
    <i t="blank">
      <x v="14"/>
    </i>
    <i>
      <x v="15"/>
    </i>
    <i r="1">
      <x/>
      <x v="33"/>
    </i>
    <i r="1">
      <x v="1"/>
      <x v="40"/>
    </i>
    <i r="1">
      <x v="2"/>
      <x v="38"/>
    </i>
    <i r="1">
      <x v="3"/>
      <x v="2"/>
    </i>
    <i r="1">
      <x v="4"/>
      <x v="1"/>
    </i>
    <i r="1">
      <x v="5"/>
      <x v="3"/>
    </i>
    <i r="1">
      <x v="6"/>
      <x v="29"/>
    </i>
    <i r="1">
      <x v="7"/>
      <x v="27"/>
    </i>
    <i r="1">
      <x v="8"/>
      <x v="43"/>
    </i>
    <i r="1">
      <x v="9"/>
      <x v="44"/>
    </i>
    <i r="1">
      <x v="10"/>
      <x v="28"/>
    </i>
    <i r="1">
      <x v="11"/>
      <x v="26"/>
    </i>
    <i r="1">
      <x v="12"/>
      <x v="36"/>
    </i>
    <i r="1">
      <x v="13"/>
      <x v="35"/>
    </i>
    <i r="1">
      <x v="14"/>
      <x v="32"/>
    </i>
    <i r="1">
      <x v="15"/>
      <x v="45"/>
    </i>
    <i r="1">
      <x v="16"/>
      <x v="23"/>
    </i>
    <i r="1">
      <x v="17"/>
      <x v="41"/>
    </i>
    <i r="1">
      <x v="18"/>
      <x v="24"/>
    </i>
    <i r="1">
      <x v="19"/>
      <x v="47"/>
    </i>
    <i t="blank">
      <x v="15"/>
    </i>
    <i>
      <x v="16"/>
    </i>
    <i r="1">
      <x/>
      <x v="40"/>
    </i>
    <i r="1">
      <x v="1"/>
      <x v="33"/>
    </i>
    <i r="1">
      <x v="2"/>
      <x v="1"/>
    </i>
    <i r="1">
      <x v="3"/>
      <x v="2"/>
    </i>
    <i r="1">
      <x v="4"/>
      <x v="35"/>
    </i>
    <i r="1">
      <x v="5"/>
      <x v="43"/>
    </i>
    <i r="1">
      <x v="6"/>
      <x v="44"/>
    </i>
    <i r="1">
      <x v="7"/>
      <x v="38"/>
    </i>
    <i r="1">
      <x v="8"/>
      <x v="29"/>
    </i>
    <i r="1">
      <x v="9"/>
      <x v="3"/>
    </i>
    <i r="1">
      <x v="10"/>
      <x v="27"/>
    </i>
    <i r="1">
      <x v="11"/>
      <x v="36"/>
    </i>
    <i r="1">
      <x v="12"/>
      <x v="28"/>
    </i>
    <i r="2">
      <x v="45"/>
    </i>
    <i r="1">
      <x v="14"/>
      <x v="24"/>
    </i>
    <i r="1">
      <x v="15"/>
      <x v="32"/>
    </i>
    <i r="2">
      <x v="48"/>
    </i>
    <i r="1">
      <x v="17"/>
      <x v="17"/>
    </i>
    <i r="1">
      <x v="18"/>
      <x v="25"/>
    </i>
    <i r="2">
      <x v="30"/>
    </i>
    <i r="2">
      <x v="41"/>
    </i>
    <i t="blank">
      <x v="16"/>
    </i>
    <i>
      <x v="17"/>
    </i>
    <i r="1">
      <x/>
      <x v="40"/>
    </i>
    <i r="1">
      <x v="1"/>
      <x v="1"/>
    </i>
    <i r="1">
      <x v="2"/>
      <x v="2"/>
    </i>
    <i r="1">
      <x v="3"/>
      <x v="33"/>
    </i>
    <i r="1">
      <x v="4"/>
      <x v="38"/>
    </i>
    <i r="1">
      <x v="5"/>
      <x v="3"/>
    </i>
    <i r="1">
      <x v="6"/>
      <x v="43"/>
    </i>
    <i r="1">
      <x v="7"/>
      <x v="29"/>
    </i>
    <i r="1">
      <x v="8"/>
      <x v="27"/>
    </i>
    <i r="2">
      <x v="44"/>
    </i>
    <i r="1">
      <x v="10"/>
      <x v="35"/>
    </i>
    <i r="1">
      <x v="11"/>
      <x v="36"/>
    </i>
    <i r="1">
      <x v="12"/>
      <x v="28"/>
    </i>
    <i r="1">
      <x v="13"/>
      <x v="45"/>
    </i>
    <i r="1">
      <x v="14"/>
      <x v="47"/>
    </i>
    <i r="1">
      <x v="15"/>
      <x v="32"/>
    </i>
    <i r="1">
      <x v="16"/>
      <x v="24"/>
    </i>
    <i r="1">
      <x v="17"/>
      <x v="26"/>
    </i>
    <i r="1">
      <x v="18"/>
      <x v="25"/>
    </i>
    <i r="1">
      <x v="19"/>
      <x v="11"/>
    </i>
    <i r="2">
      <x v="23"/>
    </i>
    <i r="2">
      <x v="41"/>
    </i>
    <i t="blank">
      <x v="17"/>
    </i>
    <i>
      <x v="18"/>
    </i>
    <i r="1">
      <x/>
      <x v="40"/>
    </i>
    <i r="1">
      <x v="1"/>
      <x v="33"/>
    </i>
    <i r="1">
      <x v="2"/>
      <x v="38"/>
    </i>
    <i r="1">
      <x v="3"/>
      <x v="43"/>
    </i>
    <i r="1">
      <x v="4"/>
      <x v="29"/>
    </i>
    <i r="1">
      <x v="5"/>
      <x v="44"/>
    </i>
    <i r="1">
      <x v="6"/>
      <x v="35"/>
    </i>
    <i r="1">
      <x v="7"/>
      <x v="1"/>
    </i>
    <i r="1">
      <x v="8"/>
      <x v="26"/>
    </i>
    <i r="1">
      <x v="9"/>
      <x v="27"/>
    </i>
    <i r="1">
      <x v="10"/>
      <x v="2"/>
    </i>
    <i r="1">
      <x v="11"/>
      <x v="36"/>
    </i>
    <i r="1">
      <x v="12"/>
      <x v="3"/>
    </i>
    <i r="1">
      <x v="13"/>
      <x v="28"/>
    </i>
    <i r="1">
      <x v="14"/>
      <x v="32"/>
    </i>
    <i r="1">
      <x v="15"/>
      <x v="17"/>
    </i>
    <i r="1">
      <x v="16"/>
      <x v="24"/>
    </i>
    <i r="1">
      <x v="17"/>
      <x v="25"/>
    </i>
    <i r="1">
      <x v="18"/>
      <x v="30"/>
    </i>
    <i r="1">
      <x v="19"/>
      <x v="41"/>
    </i>
    <i t="blank">
      <x v="18"/>
    </i>
    <i>
      <x v="19"/>
    </i>
    <i r="1">
      <x/>
      <x v="33"/>
    </i>
    <i r="1">
      <x v="1"/>
      <x v="40"/>
    </i>
    <i r="1">
      <x v="2"/>
      <x v="1"/>
    </i>
    <i r="1">
      <x v="3"/>
      <x v="2"/>
    </i>
    <i r="1">
      <x v="4"/>
      <x v="11"/>
    </i>
    <i r="1">
      <x v="5"/>
      <x v="38"/>
    </i>
    <i r="1">
      <x v="6"/>
      <x v="29"/>
    </i>
    <i r="2">
      <x v="43"/>
    </i>
    <i r="1">
      <x v="8"/>
      <x v="3"/>
    </i>
    <i r="1">
      <x v="9"/>
      <x v="28"/>
    </i>
    <i r="1">
      <x v="10"/>
      <x v="13"/>
    </i>
    <i r="1">
      <x v="11"/>
      <x v="44"/>
    </i>
    <i r="1">
      <x v="12"/>
      <x v="26"/>
    </i>
    <i r="1">
      <x v="13"/>
      <x v="35"/>
    </i>
    <i r="1">
      <x v="14"/>
      <x v="36"/>
    </i>
    <i r="1">
      <x v="15"/>
      <x v="47"/>
    </i>
    <i r="1">
      <x v="16"/>
      <x v="24"/>
    </i>
    <i r="1">
      <x v="17"/>
      <x v="27"/>
    </i>
    <i r="1">
      <x v="18"/>
      <x v="14"/>
    </i>
    <i r="1">
      <x v="19"/>
      <x v="32"/>
    </i>
    <i t="blank">
      <x v="19"/>
    </i>
    <i>
      <x v="20"/>
    </i>
    <i r="1">
      <x/>
      <x v="38"/>
    </i>
    <i r="1">
      <x v="1"/>
      <x v="33"/>
    </i>
    <i r="1">
      <x v="2"/>
      <x v="40"/>
    </i>
    <i r="1">
      <x v="3"/>
      <x v="29"/>
    </i>
    <i r="1">
      <x v="4"/>
      <x v="2"/>
    </i>
    <i r="1">
      <x v="5"/>
      <x v="1"/>
    </i>
    <i r="1">
      <x v="6"/>
      <x v="27"/>
    </i>
    <i r="1">
      <x v="7"/>
      <x v="3"/>
    </i>
    <i r="1">
      <x v="8"/>
      <x v="44"/>
    </i>
    <i r="1">
      <x v="9"/>
      <x v="43"/>
    </i>
    <i r="1">
      <x v="10"/>
      <x v="35"/>
    </i>
    <i r="1">
      <x v="11"/>
      <x v="26"/>
    </i>
    <i r="1">
      <x v="12"/>
      <x v="32"/>
    </i>
    <i r="1">
      <x v="13"/>
      <x v="36"/>
    </i>
    <i r="1">
      <x v="14"/>
      <x v="11"/>
    </i>
    <i r="1">
      <x v="15"/>
      <x v="28"/>
    </i>
    <i r="1">
      <x v="16"/>
      <x v="13"/>
    </i>
    <i r="1">
      <x v="17"/>
      <x v="45"/>
    </i>
    <i r="2">
      <x v="50"/>
    </i>
    <i r="1">
      <x v="19"/>
      <x v="41"/>
    </i>
    <i t="blank">
      <x v="20"/>
    </i>
    <i>
      <x v="21"/>
    </i>
    <i r="1">
      <x/>
      <x v="38"/>
    </i>
    <i r="1">
      <x v="1"/>
      <x v="33"/>
    </i>
    <i r="1">
      <x v="2"/>
      <x v="40"/>
    </i>
    <i r="1">
      <x v="3"/>
      <x v="3"/>
    </i>
    <i r="1">
      <x v="4"/>
      <x v="29"/>
    </i>
    <i r="1">
      <x v="5"/>
      <x v="27"/>
    </i>
    <i r="1">
      <x v="6"/>
      <x v="2"/>
    </i>
    <i r="1">
      <x v="7"/>
      <x v="1"/>
    </i>
    <i r="1">
      <x v="8"/>
      <x v="26"/>
    </i>
    <i r="1">
      <x v="9"/>
      <x v="44"/>
    </i>
    <i r="1">
      <x v="10"/>
      <x v="11"/>
    </i>
    <i r="1">
      <x v="11"/>
      <x v="35"/>
    </i>
    <i r="1">
      <x v="12"/>
      <x v="32"/>
    </i>
    <i r="1">
      <x v="13"/>
      <x v="36"/>
    </i>
    <i r="2">
      <x v="43"/>
    </i>
    <i r="2">
      <x v="50"/>
    </i>
    <i r="1">
      <x v="16"/>
      <x v="23"/>
    </i>
    <i r="2">
      <x v="28"/>
    </i>
    <i r="1">
      <x v="18"/>
      <x v="13"/>
    </i>
    <i r="1">
      <x v="19"/>
      <x v="45"/>
    </i>
    <i t="blank">
      <x v="21"/>
    </i>
    <i>
      <x v="22"/>
    </i>
    <i r="1">
      <x/>
      <x v="38"/>
    </i>
    <i r="1">
      <x v="1"/>
      <x v="40"/>
    </i>
    <i r="1">
      <x v="2"/>
      <x v="33"/>
    </i>
    <i r="1">
      <x v="3"/>
      <x v="29"/>
    </i>
    <i r="1">
      <x v="4"/>
      <x v="2"/>
    </i>
    <i r="2">
      <x v="27"/>
    </i>
    <i r="1">
      <x v="6"/>
      <x v="3"/>
    </i>
    <i r="1">
      <x v="7"/>
      <x v="1"/>
    </i>
    <i r="1">
      <x v="8"/>
      <x v="44"/>
    </i>
    <i r="1">
      <x v="9"/>
      <x v="43"/>
    </i>
    <i r="1">
      <x v="10"/>
      <x v="26"/>
    </i>
    <i r="1">
      <x v="11"/>
      <x v="32"/>
    </i>
    <i r="1">
      <x v="12"/>
      <x v="19"/>
    </i>
    <i r="1">
      <x v="13"/>
      <x v="11"/>
    </i>
    <i r="1">
      <x v="14"/>
      <x v="13"/>
    </i>
    <i r="1">
      <x v="15"/>
      <x v="28"/>
    </i>
    <i r="2">
      <x v="35"/>
    </i>
    <i r="1">
      <x v="17"/>
      <x v="36"/>
    </i>
    <i r="1">
      <x v="18"/>
      <x v="50"/>
    </i>
    <i r="1">
      <x v="19"/>
      <x v="23"/>
    </i>
    <i r="2">
      <x v="42"/>
    </i>
    <i t="blank">
      <x v="22"/>
    </i>
    <i>
      <x v="23"/>
    </i>
    <i r="1">
      <x/>
      <x v="38"/>
    </i>
    <i r="1">
      <x v="1"/>
      <x v="40"/>
    </i>
    <i r="1">
      <x v="2"/>
      <x v="33"/>
    </i>
    <i r="1">
      <x v="3"/>
      <x v="29"/>
    </i>
    <i r="1">
      <x v="4"/>
      <x v="44"/>
    </i>
    <i r="1">
      <x v="5"/>
      <x v="27"/>
    </i>
    <i r="1">
      <x v="6"/>
      <x v="1"/>
    </i>
    <i r="1">
      <x v="7"/>
      <x v="43"/>
    </i>
    <i r="1">
      <x v="8"/>
      <x v="32"/>
    </i>
    <i r="1">
      <x v="9"/>
      <x v="26"/>
    </i>
    <i r="1">
      <x v="10"/>
      <x v="2"/>
    </i>
    <i r="1">
      <x v="11"/>
      <x v="3"/>
    </i>
    <i r="1">
      <x v="12"/>
      <x v="35"/>
    </i>
    <i r="1">
      <x v="13"/>
      <x v="11"/>
    </i>
    <i r="1">
      <x v="14"/>
      <x v="28"/>
    </i>
    <i r="1">
      <x v="15"/>
      <x v="36"/>
    </i>
    <i r="1">
      <x v="16"/>
      <x v="13"/>
    </i>
    <i r="1">
      <x v="17"/>
      <x v="41"/>
    </i>
    <i r="1">
      <x v="18"/>
      <x v="24"/>
    </i>
    <i r="1">
      <x v="19"/>
      <x v="45"/>
    </i>
    <i t="blank">
      <x v="23"/>
    </i>
    <i>
      <x v="24"/>
    </i>
    <i r="1">
      <x/>
      <x v="33"/>
    </i>
    <i r="1">
      <x v="1"/>
      <x v="38"/>
    </i>
    <i r="1">
      <x v="2"/>
      <x v="40"/>
    </i>
    <i r="1">
      <x v="3"/>
      <x v="2"/>
    </i>
    <i r="1">
      <x v="4"/>
      <x v="29"/>
    </i>
    <i r="1">
      <x v="5"/>
      <x v="1"/>
    </i>
    <i r="1">
      <x v="6"/>
      <x v="44"/>
    </i>
    <i r="1">
      <x v="7"/>
      <x v="3"/>
    </i>
    <i r="1">
      <x v="8"/>
      <x v="27"/>
    </i>
    <i r="1">
      <x v="9"/>
      <x v="11"/>
    </i>
    <i r="1">
      <x v="10"/>
      <x v="13"/>
    </i>
    <i r="1">
      <x v="11"/>
      <x v="43"/>
    </i>
    <i r="1">
      <x v="12"/>
      <x v="26"/>
    </i>
    <i r="1">
      <x v="13"/>
      <x v="32"/>
    </i>
    <i r="1">
      <x v="14"/>
      <x v="28"/>
    </i>
    <i r="1">
      <x v="15"/>
      <x v="35"/>
    </i>
    <i r="1">
      <x v="16"/>
      <x v="36"/>
    </i>
    <i r="1">
      <x v="17"/>
      <x v="14"/>
    </i>
    <i r="1">
      <x v="18"/>
      <x v="45"/>
    </i>
    <i r="1">
      <x v="19"/>
      <x v="50"/>
    </i>
    <i t="blank">
      <x v="24"/>
    </i>
    <i>
      <x v="25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2"/>
    </i>
    <i r="1">
      <x v="5"/>
      <x v="1"/>
    </i>
    <i r="1">
      <x v="6"/>
      <x v="44"/>
    </i>
    <i r="1">
      <x v="7"/>
      <x v="27"/>
    </i>
    <i r="1">
      <x v="8"/>
      <x v="43"/>
    </i>
    <i r="1">
      <x v="9"/>
      <x v="3"/>
    </i>
    <i r="1">
      <x v="10"/>
      <x v="36"/>
    </i>
    <i r="1">
      <x v="11"/>
      <x v="35"/>
    </i>
    <i r="1">
      <x v="12"/>
      <x v="32"/>
    </i>
    <i r="1">
      <x v="13"/>
      <x v="28"/>
    </i>
    <i r="1">
      <x v="14"/>
      <x v="45"/>
    </i>
    <i r="1">
      <x v="15"/>
      <x v="26"/>
    </i>
    <i r="1">
      <x v="16"/>
      <x v="41"/>
    </i>
    <i r="1">
      <x v="17"/>
      <x v="50"/>
    </i>
    <i r="1">
      <x v="18"/>
      <x v="17"/>
    </i>
    <i r="1">
      <x v="19"/>
      <x v="24"/>
    </i>
    <i t="blank">
      <x v="25"/>
    </i>
    <i>
      <x v="26"/>
    </i>
    <i r="1">
      <x/>
      <x v="33"/>
    </i>
    <i r="1">
      <x v="1"/>
      <x v="40"/>
    </i>
    <i r="1">
      <x v="2"/>
      <x v="38"/>
    </i>
    <i r="1">
      <x v="3"/>
      <x v="1"/>
    </i>
    <i r="1">
      <x v="4"/>
      <x v="2"/>
    </i>
    <i r="1">
      <x v="5"/>
      <x v="3"/>
    </i>
    <i r="1">
      <x v="6"/>
      <x v="43"/>
    </i>
    <i r="1">
      <x v="7"/>
      <x v="29"/>
    </i>
    <i r="1">
      <x v="8"/>
      <x v="44"/>
    </i>
    <i r="1">
      <x v="9"/>
      <x v="27"/>
    </i>
    <i r="1">
      <x v="10"/>
      <x v="35"/>
    </i>
    <i r="1">
      <x v="11"/>
      <x v="28"/>
    </i>
    <i r="1">
      <x v="12"/>
      <x v="36"/>
    </i>
    <i r="1">
      <x v="13"/>
      <x v="32"/>
    </i>
    <i r="1">
      <x v="14"/>
      <x v="22"/>
    </i>
    <i r="1">
      <x v="15"/>
      <x v="50"/>
    </i>
    <i r="1">
      <x v="16"/>
      <x v="11"/>
    </i>
    <i r="2">
      <x v="25"/>
    </i>
    <i r="1">
      <x v="18"/>
      <x v="14"/>
    </i>
    <i r="1">
      <x v="19"/>
      <x v="17"/>
    </i>
    <i r="2">
      <x v="45"/>
    </i>
    <i t="blank">
      <x v="26"/>
    </i>
    <i>
      <x v="27"/>
    </i>
    <i r="1">
      <x/>
      <x v="33"/>
    </i>
    <i r="1">
      <x v="1"/>
      <x v="40"/>
    </i>
    <i r="1">
      <x v="2"/>
      <x v="38"/>
    </i>
    <i r="1">
      <x v="3"/>
      <x v="1"/>
    </i>
    <i r="2">
      <x v="35"/>
    </i>
    <i r="1">
      <x v="5"/>
      <x v="43"/>
    </i>
    <i r="1">
      <x v="6"/>
      <x v="29"/>
    </i>
    <i r="1">
      <x v="7"/>
      <x v="44"/>
    </i>
    <i r="1">
      <x v="8"/>
      <x v="27"/>
    </i>
    <i r="1">
      <x v="9"/>
      <x v="2"/>
    </i>
    <i r="1">
      <x v="10"/>
      <x v="36"/>
    </i>
    <i r="1">
      <x v="11"/>
      <x v="3"/>
    </i>
    <i r="1">
      <x v="12"/>
      <x v="26"/>
    </i>
    <i r="1">
      <x v="13"/>
      <x v="28"/>
    </i>
    <i r="1">
      <x v="14"/>
      <x v="45"/>
    </i>
    <i r="1">
      <x v="15"/>
      <x v="32"/>
    </i>
    <i r="1">
      <x v="16"/>
      <x v="24"/>
    </i>
    <i r="1">
      <x v="17"/>
      <x v="17"/>
    </i>
    <i r="1">
      <x v="18"/>
      <x v="50"/>
    </i>
    <i r="1">
      <x v="19"/>
      <x v="41"/>
    </i>
    <i t="blank">
      <x v="27"/>
    </i>
    <i>
      <x v="28"/>
    </i>
    <i r="1">
      <x/>
      <x v="40"/>
    </i>
    <i r="1">
      <x v="1"/>
      <x v="38"/>
    </i>
    <i r="1">
      <x v="2"/>
      <x v="33"/>
    </i>
    <i r="1">
      <x v="3"/>
      <x v="2"/>
    </i>
    <i r="1">
      <x v="4"/>
      <x v="1"/>
    </i>
    <i r="1">
      <x v="5"/>
      <x v="29"/>
    </i>
    <i r="1">
      <x v="6"/>
      <x v="43"/>
    </i>
    <i r="1">
      <x v="7"/>
      <x v="3"/>
    </i>
    <i r="1">
      <x v="8"/>
      <x v="44"/>
    </i>
    <i r="1">
      <x v="9"/>
      <x v="27"/>
    </i>
    <i r="1">
      <x v="10"/>
      <x v="36"/>
    </i>
    <i r="1">
      <x v="11"/>
      <x v="28"/>
    </i>
    <i r="2">
      <x v="35"/>
    </i>
    <i r="1">
      <x v="13"/>
      <x v="32"/>
    </i>
    <i r="1">
      <x v="14"/>
      <x v="26"/>
    </i>
    <i r="1">
      <x v="15"/>
      <x v="13"/>
    </i>
    <i r="1">
      <x v="16"/>
      <x v="11"/>
    </i>
    <i r="1">
      <x v="17"/>
      <x v="24"/>
    </i>
    <i r="1">
      <x v="18"/>
      <x v="23"/>
    </i>
    <i r="1">
      <x v="19"/>
      <x v="45"/>
    </i>
    <i t="blank">
      <x v="28"/>
    </i>
    <i>
      <x v="29"/>
    </i>
    <i r="1">
      <x/>
      <x v="33"/>
    </i>
    <i r="1">
      <x v="1"/>
      <x v="40"/>
    </i>
    <i r="1">
      <x v="2"/>
      <x v="38"/>
    </i>
    <i r="1">
      <x v="3"/>
      <x v="1"/>
    </i>
    <i r="1">
      <x v="4"/>
      <x v="2"/>
    </i>
    <i r="1">
      <x v="5"/>
      <x v="29"/>
    </i>
    <i r="1">
      <x v="6"/>
      <x v="43"/>
    </i>
    <i r="1">
      <x v="7"/>
      <x v="44"/>
    </i>
    <i r="1">
      <x v="8"/>
      <x v="3"/>
    </i>
    <i r="1">
      <x v="9"/>
      <x v="27"/>
    </i>
    <i r="1">
      <x v="10"/>
      <x v="36"/>
    </i>
    <i r="1">
      <x v="11"/>
      <x v="28"/>
    </i>
    <i r="1">
      <x v="12"/>
      <x v="26"/>
    </i>
    <i r="1">
      <x v="13"/>
      <x v="13"/>
    </i>
    <i r="1">
      <x v="14"/>
      <x v="11"/>
    </i>
    <i r="1">
      <x v="15"/>
      <x v="35"/>
    </i>
    <i r="1">
      <x v="16"/>
      <x v="32"/>
    </i>
    <i r="1">
      <x v="17"/>
      <x v="47"/>
    </i>
    <i r="1">
      <x v="18"/>
      <x v="24"/>
    </i>
    <i r="1">
      <x v="19"/>
      <x v="23"/>
    </i>
    <i t="blank">
      <x v="29"/>
    </i>
    <i>
      <x v="30"/>
    </i>
    <i r="1">
      <x/>
      <x v="38"/>
    </i>
    <i r="1">
      <x v="1"/>
      <x v="40"/>
    </i>
    <i r="1">
      <x v="2"/>
      <x v="33"/>
    </i>
    <i r="1">
      <x v="3"/>
      <x v="2"/>
    </i>
    <i r="1">
      <x v="4"/>
      <x v="1"/>
    </i>
    <i r="1">
      <x v="5"/>
      <x v="29"/>
    </i>
    <i r="1">
      <x v="6"/>
      <x v="3"/>
    </i>
    <i r="1">
      <x v="7"/>
      <x v="43"/>
    </i>
    <i r="1">
      <x v="8"/>
      <x v="44"/>
    </i>
    <i r="1">
      <x v="9"/>
      <x v="27"/>
    </i>
    <i r="1">
      <x v="10"/>
      <x v="13"/>
    </i>
    <i r="2">
      <x v="28"/>
    </i>
    <i r="2">
      <x v="36"/>
    </i>
    <i r="1">
      <x v="13"/>
      <x v="35"/>
    </i>
    <i r="1">
      <x v="14"/>
      <x v="32"/>
    </i>
    <i r="1">
      <x v="15"/>
      <x v="11"/>
    </i>
    <i r="1">
      <x v="16"/>
      <x v="23"/>
    </i>
    <i r="1">
      <x v="17"/>
      <x v="26"/>
    </i>
    <i r="1">
      <x v="18"/>
      <x v="45"/>
    </i>
    <i r="1">
      <x v="19"/>
      <x v="47"/>
    </i>
    <i t="blank">
      <x v="30"/>
    </i>
    <i>
      <x v="31"/>
    </i>
    <i r="1">
      <x/>
      <x v="33"/>
    </i>
    <i r="1">
      <x v="1"/>
      <x v="40"/>
    </i>
    <i r="1">
      <x v="2"/>
      <x v="38"/>
    </i>
    <i r="1">
      <x v="3"/>
      <x v="2"/>
    </i>
    <i r="1">
      <x v="4"/>
      <x v="29"/>
    </i>
    <i r="1">
      <x v="5"/>
      <x v="1"/>
    </i>
    <i r="1">
      <x v="6"/>
      <x v="43"/>
    </i>
    <i r="1">
      <x v="7"/>
      <x v="44"/>
    </i>
    <i r="1">
      <x v="8"/>
      <x v="3"/>
    </i>
    <i r="1">
      <x v="9"/>
      <x v="27"/>
    </i>
    <i r="1">
      <x v="10"/>
      <x v="35"/>
    </i>
    <i r="1">
      <x v="11"/>
      <x v="32"/>
    </i>
    <i r="1">
      <x v="12"/>
      <x v="36"/>
    </i>
    <i r="1">
      <x v="13"/>
      <x v="26"/>
    </i>
    <i r="1">
      <x v="14"/>
      <x v="28"/>
    </i>
    <i r="1">
      <x v="15"/>
      <x v="24"/>
    </i>
    <i r="2">
      <x v="41"/>
    </i>
    <i r="1">
      <x v="17"/>
      <x v="25"/>
    </i>
    <i r="1">
      <x v="18"/>
      <x v="45"/>
    </i>
    <i r="1">
      <x v="19"/>
      <x v="17"/>
    </i>
    <i t="blank">
      <x v="31"/>
    </i>
    <i>
      <x v="32"/>
    </i>
    <i r="1">
      <x/>
      <x v="38"/>
    </i>
    <i r="1">
      <x v="1"/>
      <x v="40"/>
    </i>
    <i r="1">
      <x v="2"/>
      <x v="33"/>
    </i>
    <i r="1">
      <x v="3"/>
      <x v="29"/>
    </i>
    <i r="1">
      <x v="4"/>
      <x v="1"/>
    </i>
    <i r="1">
      <x v="5"/>
      <x v="27"/>
    </i>
    <i r="1">
      <x v="6"/>
      <x v="2"/>
    </i>
    <i r="1">
      <x v="7"/>
      <x v="44"/>
    </i>
    <i r="1">
      <x v="8"/>
      <x v="3"/>
    </i>
    <i r="1">
      <x v="9"/>
      <x v="43"/>
    </i>
    <i r="1">
      <x v="10"/>
      <x v="26"/>
    </i>
    <i r="1">
      <x v="11"/>
      <x v="28"/>
    </i>
    <i r="1">
      <x v="12"/>
      <x v="35"/>
    </i>
    <i r="1">
      <x v="13"/>
      <x v="36"/>
    </i>
    <i r="1">
      <x v="14"/>
      <x v="32"/>
    </i>
    <i r="1">
      <x v="15"/>
      <x v="41"/>
    </i>
    <i r="1">
      <x v="16"/>
      <x v="45"/>
    </i>
    <i r="1">
      <x v="17"/>
      <x v="42"/>
    </i>
    <i r="1">
      <x v="18"/>
      <x v="15"/>
    </i>
    <i r="1">
      <x v="19"/>
      <x v="31"/>
    </i>
    <i t="blank">
      <x v="32"/>
    </i>
    <i>
      <x v="33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1"/>
    </i>
    <i r="1">
      <x v="5"/>
      <x v="27"/>
    </i>
    <i r="1">
      <x v="6"/>
      <x v="2"/>
    </i>
    <i r="1">
      <x v="7"/>
      <x v="3"/>
    </i>
    <i r="1">
      <x v="8"/>
      <x v="43"/>
    </i>
    <i r="1">
      <x v="9"/>
      <x v="28"/>
    </i>
    <i r="1">
      <x v="10"/>
      <x v="44"/>
    </i>
    <i r="1">
      <x v="11"/>
      <x v="26"/>
    </i>
    <i r="1">
      <x v="12"/>
      <x v="35"/>
    </i>
    <i r="1">
      <x v="13"/>
      <x v="32"/>
    </i>
    <i r="1">
      <x v="14"/>
      <x v="36"/>
    </i>
    <i r="1">
      <x v="15"/>
      <x v="23"/>
    </i>
    <i r="1">
      <x v="16"/>
      <x v="13"/>
    </i>
    <i r="2">
      <x v="47"/>
    </i>
    <i r="1">
      <x v="18"/>
      <x v="24"/>
    </i>
    <i r="1">
      <x v="19"/>
      <x v="25"/>
    </i>
    <i t="blank">
      <x v="33"/>
    </i>
    <i>
      <x v="34"/>
    </i>
    <i r="1">
      <x/>
      <x v="38"/>
    </i>
    <i r="1">
      <x v="1"/>
      <x v="33"/>
    </i>
    <i r="1">
      <x v="2"/>
      <x v="29"/>
    </i>
    <i r="1">
      <x v="3"/>
      <x v="40"/>
    </i>
    <i r="1">
      <x v="4"/>
      <x v="27"/>
    </i>
    <i r="1">
      <x v="5"/>
      <x v="26"/>
    </i>
    <i r="1">
      <x v="6"/>
      <x v="43"/>
    </i>
    <i r="1">
      <x v="7"/>
      <x v="35"/>
    </i>
    <i r="1">
      <x v="8"/>
      <x v="44"/>
    </i>
    <i r="1">
      <x v="9"/>
      <x v="1"/>
    </i>
    <i r="1">
      <x v="10"/>
      <x v="2"/>
    </i>
    <i r="1">
      <x v="11"/>
      <x v="3"/>
    </i>
    <i r="1">
      <x v="12"/>
      <x v="36"/>
    </i>
    <i r="1">
      <x v="13"/>
      <x v="32"/>
    </i>
    <i r="1">
      <x v="14"/>
      <x v="28"/>
    </i>
    <i r="1">
      <x v="15"/>
      <x v="50"/>
    </i>
    <i r="1">
      <x v="16"/>
      <x v="41"/>
    </i>
    <i r="1">
      <x v="17"/>
      <x v="25"/>
    </i>
    <i r="1">
      <x v="18"/>
      <x v="30"/>
    </i>
    <i r="1">
      <x v="19"/>
      <x v="17"/>
    </i>
    <i t="blank">
      <x v="34"/>
    </i>
    <i>
      <x v="35"/>
    </i>
    <i r="1">
      <x/>
      <x v="38"/>
    </i>
    <i r="1">
      <x v="1"/>
      <x v="33"/>
    </i>
    <i r="1">
      <x v="2"/>
      <x v="40"/>
    </i>
    <i r="1">
      <x v="3"/>
      <x v="29"/>
    </i>
    <i r="1">
      <x v="4"/>
      <x v="1"/>
    </i>
    <i r="1">
      <x v="5"/>
      <x v="27"/>
    </i>
    <i r="1">
      <x v="6"/>
      <x v="44"/>
    </i>
    <i r="1">
      <x v="7"/>
      <x v="43"/>
    </i>
    <i r="1">
      <x v="8"/>
      <x v="2"/>
    </i>
    <i r="1">
      <x v="9"/>
      <x v="3"/>
    </i>
    <i r="1">
      <x v="10"/>
      <x v="28"/>
    </i>
    <i r="1">
      <x v="11"/>
      <x v="26"/>
    </i>
    <i r="1">
      <x v="12"/>
      <x v="35"/>
    </i>
    <i r="1">
      <x v="13"/>
      <x v="36"/>
    </i>
    <i r="1">
      <x v="14"/>
      <x v="32"/>
    </i>
    <i r="1">
      <x v="15"/>
      <x v="11"/>
    </i>
    <i r="1">
      <x v="16"/>
      <x v="45"/>
    </i>
    <i r="1">
      <x v="17"/>
      <x v="41"/>
    </i>
    <i r="1">
      <x v="18"/>
      <x v="24"/>
    </i>
    <i r="1">
      <x v="19"/>
      <x v="25"/>
    </i>
    <i t="blank">
      <x v="35"/>
    </i>
    <i>
      <x v="36"/>
    </i>
    <i r="1">
      <x/>
      <x v="38"/>
    </i>
    <i r="1">
      <x v="1"/>
      <x v="40"/>
    </i>
    <i r="1">
      <x v="2"/>
      <x v="29"/>
    </i>
    <i r="1">
      <x v="3"/>
      <x v="33"/>
    </i>
    <i r="1">
      <x v="4"/>
      <x v="27"/>
    </i>
    <i r="1">
      <x v="5"/>
      <x v="1"/>
    </i>
    <i r="1">
      <x v="6"/>
      <x v="2"/>
    </i>
    <i r="1">
      <x v="7"/>
      <x v="43"/>
    </i>
    <i r="1">
      <x v="8"/>
      <x v="26"/>
    </i>
    <i r="1">
      <x v="9"/>
      <x v="3"/>
    </i>
    <i r="1">
      <x v="10"/>
      <x v="44"/>
    </i>
    <i r="1">
      <x v="11"/>
      <x v="28"/>
    </i>
    <i r="1">
      <x v="12"/>
      <x v="35"/>
    </i>
    <i r="1">
      <x v="13"/>
      <x v="36"/>
    </i>
    <i r="1">
      <x v="14"/>
      <x v="22"/>
    </i>
    <i r="1">
      <x v="15"/>
      <x v="4"/>
    </i>
    <i r="1">
      <x v="16"/>
      <x v="32"/>
    </i>
    <i r="1">
      <x v="17"/>
      <x v="23"/>
    </i>
    <i r="1">
      <x v="18"/>
      <x v="47"/>
    </i>
    <i r="1">
      <x v="19"/>
      <x v="25"/>
    </i>
    <i t="blank">
      <x v="36"/>
    </i>
    <i>
      <x v="37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1"/>
    </i>
    <i r="1">
      <x v="5"/>
      <x v="2"/>
    </i>
    <i r="2">
      <x v="44"/>
    </i>
    <i r="1">
      <x v="7"/>
      <x v="43"/>
    </i>
    <i r="1">
      <x v="8"/>
      <x v="27"/>
    </i>
    <i r="1">
      <x v="9"/>
      <x v="3"/>
    </i>
    <i r="1">
      <x v="10"/>
      <x v="26"/>
    </i>
    <i r="1">
      <x v="11"/>
      <x v="28"/>
    </i>
    <i r="1">
      <x v="12"/>
      <x v="36"/>
    </i>
    <i r="1">
      <x v="13"/>
      <x v="35"/>
    </i>
    <i r="1">
      <x v="14"/>
      <x v="32"/>
    </i>
    <i r="1">
      <x v="15"/>
      <x v="41"/>
    </i>
    <i r="1">
      <x v="16"/>
      <x v="45"/>
    </i>
    <i r="1">
      <x v="17"/>
      <x v="24"/>
    </i>
    <i r="2">
      <x v="42"/>
    </i>
    <i r="1">
      <x v="19"/>
      <x v="25"/>
    </i>
    <i t="blank">
      <x v="37"/>
    </i>
    <i>
      <x v="38"/>
    </i>
    <i r="1">
      <x/>
      <x v="33"/>
    </i>
    <i r="1">
      <x v="1"/>
      <x v="40"/>
    </i>
    <i r="1">
      <x v="2"/>
      <x v="38"/>
    </i>
    <i r="1">
      <x v="3"/>
      <x v="29"/>
    </i>
    <i r="1">
      <x v="4"/>
      <x v="27"/>
    </i>
    <i r="1">
      <x v="5"/>
      <x v="44"/>
    </i>
    <i r="1">
      <x v="6"/>
      <x v="43"/>
    </i>
    <i r="1">
      <x v="7"/>
      <x v="1"/>
    </i>
    <i r="1">
      <x v="8"/>
      <x v="35"/>
    </i>
    <i r="1">
      <x v="9"/>
      <x v="26"/>
    </i>
    <i r="1">
      <x v="10"/>
      <x v="2"/>
    </i>
    <i r="1">
      <x v="11"/>
      <x v="36"/>
    </i>
    <i r="1">
      <x v="12"/>
      <x v="3"/>
    </i>
    <i r="1">
      <x v="13"/>
      <x v="32"/>
    </i>
    <i r="1">
      <x v="14"/>
      <x v="45"/>
    </i>
    <i r="1">
      <x v="15"/>
      <x v="28"/>
    </i>
    <i r="1">
      <x v="16"/>
      <x v="41"/>
    </i>
    <i r="1">
      <x v="17"/>
      <x v="25"/>
    </i>
    <i r="1">
      <x v="18"/>
      <x v="30"/>
    </i>
    <i r="2">
      <x v="50"/>
    </i>
    <i t="blank">
      <x v="38"/>
    </i>
    <i>
      <x v="39"/>
    </i>
    <i r="1">
      <x/>
      <x v="38"/>
    </i>
    <i r="1">
      <x v="1"/>
      <x v="40"/>
    </i>
    <i r="1">
      <x v="2"/>
      <x v="1"/>
    </i>
    <i r="1">
      <x v="3"/>
      <x v="29"/>
    </i>
    <i r="1">
      <x v="4"/>
      <x v="27"/>
    </i>
    <i r="1">
      <x v="5"/>
      <x v="33"/>
    </i>
    <i r="1">
      <x v="6"/>
      <x v="2"/>
    </i>
    <i r="1">
      <x v="7"/>
      <x v="22"/>
    </i>
    <i r="1">
      <x v="8"/>
      <x v="44"/>
    </i>
    <i r="1">
      <x v="9"/>
      <x v="42"/>
    </i>
    <i r="1">
      <x v="10"/>
      <x v="28"/>
    </i>
    <i r="1">
      <x v="11"/>
      <x v="37"/>
    </i>
    <i r="2">
      <x v="43"/>
    </i>
    <i r="1">
      <x v="13"/>
      <x v="3"/>
    </i>
    <i r="1">
      <x v="14"/>
      <x v="26"/>
    </i>
    <i r="1">
      <x v="15"/>
      <x v="4"/>
    </i>
    <i r="1">
      <x v="16"/>
      <x v="15"/>
    </i>
    <i r="1">
      <x v="17"/>
      <x v="36"/>
    </i>
    <i r="1">
      <x v="18"/>
      <x v="41"/>
    </i>
    <i r="1">
      <x v="19"/>
      <x v="35"/>
    </i>
    <i t="blank">
      <x v="39"/>
    </i>
    <i>
      <x v="40"/>
    </i>
    <i r="1">
      <x/>
      <x v="40"/>
    </i>
    <i r="1">
      <x v="1"/>
      <x v="38"/>
    </i>
    <i r="1">
      <x v="2"/>
      <x v="33"/>
    </i>
    <i r="1">
      <x v="3"/>
      <x v="1"/>
    </i>
    <i r="1">
      <x v="4"/>
      <x v="29"/>
    </i>
    <i r="1">
      <x v="5"/>
      <x v="27"/>
    </i>
    <i r="1">
      <x v="6"/>
      <x v="43"/>
    </i>
    <i r="1">
      <x v="7"/>
      <x v="2"/>
    </i>
    <i r="1">
      <x v="8"/>
      <x v="44"/>
    </i>
    <i r="1">
      <x v="9"/>
      <x v="3"/>
    </i>
    <i r="1">
      <x v="10"/>
      <x v="28"/>
    </i>
    <i r="1">
      <x v="11"/>
      <x v="26"/>
    </i>
    <i r="1">
      <x v="12"/>
      <x v="32"/>
    </i>
    <i r="1">
      <x v="13"/>
      <x v="36"/>
    </i>
    <i r="1">
      <x v="14"/>
      <x v="35"/>
    </i>
    <i r="1">
      <x v="15"/>
      <x v="13"/>
    </i>
    <i r="1">
      <x v="16"/>
      <x v="11"/>
    </i>
    <i r="2">
      <x v="41"/>
    </i>
    <i r="1">
      <x v="18"/>
      <x v="23"/>
    </i>
    <i r="1">
      <x v="19"/>
      <x v="50"/>
    </i>
    <i t="blank">
      <x v="40"/>
    </i>
    <i>
      <x v="41"/>
    </i>
    <i r="1">
      <x/>
      <x v="33"/>
    </i>
    <i r="1">
      <x v="1"/>
      <x v="38"/>
    </i>
    <i r="1">
      <x v="2"/>
      <x v="40"/>
    </i>
    <i r="1">
      <x v="3"/>
      <x v="1"/>
    </i>
    <i r="1">
      <x v="4"/>
      <x v="29"/>
    </i>
    <i r="1">
      <x v="5"/>
      <x v="2"/>
    </i>
    <i r="1">
      <x v="6"/>
      <x v="3"/>
    </i>
    <i r="1">
      <x v="7"/>
      <x v="44"/>
    </i>
    <i r="1">
      <x v="8"/>
      <x v="43"/>
    </i>
    <i r="1">
      <x v="9"/>
      <x v="28"/>
    </i>
    <i r="1">
      <x v="10"/>
      <x v="27"/>
    </i>
    <i r="1">
      <x v="11"/>
      <x v="24"/>
    </i>
    <i r="2">
      <x v="36"/>
    </i>
    <i r="1">
      <x v="13"/>
      <x v="35"/>
    </i>
    <i r="1">
      <x v="14"/>
      <x v="32"/>
    </i>
    <i r="1">
      <x v="15"/>
      <x v="26"/>
    </i>
    <i r="1">
      <x v="16"/>
      <x v="13"/>
    </i>
    <i r="1">
      <x v="17"/>
      <x v="47"/>
    </i>
    <i r="1">
      <x v="18"/>
      <x v="50"/>
    </i>
    <i r="1">
      <x v="19"/>
      <x v="23"/>
    </i>
    <i t="blank">
      <x v="41"/>
    </i>
    <i>
      <x v="42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2"/>
    </i>
    <i r="1">
      <x v="5"/>
      <x v="1"/>
    </i>
    <i r="1">
      <x v="6"/>
      <x v="44"/>
    </i>
    <i r="1">
      <x v="7"/>
      <x v="43"/>
    </i>
    <i r="1">
      <x v="8"/>
      <x v="27"/>
    </i>
    <i r="1">
      <x v="9"/>
      <x v="3"/>
    </i>
    <i r="1">
      <x v="10"/>
      <x v="28"/>
    </i>
    <i r="1">
      <x v="11"/>
      <x v="32"/>
    </i>
    <i r="1">
      <x v="12"/>
      <x v="35"/>
    </i>
    <i r="1">
      <x v="13"/>
      <x v="26"/>
    </i>
    <i r="1">
      <x v="14"/>
      <x v="36"/>
    </i>
    <i r="1">
      <x v="15"/>
      <x v="24"/>
    </i>
    <i r="1">
      <x v="16"/>
      <x v="41"/>
    </i>
    <i r="1">
      <x v="17"/>
      <x v="13"/>
    </i>
    <i r="1">
      <x v="18"/>
      <x v="47"/>
    </i>
    <i r="1">
      <x v="19"/>
      <x v="25"/>
    </i>
    <i t="blank">
      <x v="42"/>
    </i>
    <i>
      <x v="43"/>
    </i>
    <i r="1">
      <x/>
      <x v="33"/>
    </i>
    <i r="1">
      <x v="1"/>
      <x v="38"/>
    </i>
    <i r="1">
      <x v="2"/>
      <x v="40"/>
    </i>
    <i r="1">
      <x v="3"/>
      <x v="1"/>
    </i>
    <i r="1">
      <x v="4"/>
      <x v="29"/>
    </i>
    <i r="1">
      <x v="5"/>
      <x v="2"/>
    </i>
    <i r="2">
      <x v="27"/>
    </i>
    <i r="1">
      <x v="7"/>
      <x v="44"/>
    </i>
    <i r="1">
      <x v="8"/>
      <x v="43"/>
    </i>
    <i r="1">
      <x v="9"/>
      <x v="28"/>
    </i>
    <i r="1">
      <x v="10"/>
      <x v="3"/>
    </i>
    <i r="1">
      <x v="11"/>
      <x v="26"/>
    </i>
    <i r="1">
      <x v="12"/>
      <x v="36"/>
    </i>
    <i r="1">
      <x v="13"/>
      <x v="35"/>
    </i>
    <i r="1">
      <x v="14"/>
      <x v="32"/>
    </i>
    <i r="1">
      <x v="15"/>
      <x v="11"/>
    </i>
    <i r="2">
      <x v="13"/>
    </i>
    <i r="1">
      <x v="17"/>
      <x v="47"/>
    </i>
    <i r="1">
      <x v="18"/>
      <x v="24"/>
    </i>
    <i r="2">
      <x v="25"/>
    </i>
    <i t="blank">
      <x v="43"/>
    </i>
    <i>
      <x v="44"/>
    </i>
    <i r="1">
      <x/>
      <x v="33"/>
    </i>
    <i r="1">
      <x v="1"/>
      <x v="38"/>
    </i>
    <i r="1">
      <x v="2"/>
      <x v="40"/>
    </i>
    <i r="1">
      <x v="3"/>
      <x v="1"/>
    </i>
    <i r="1">
      <x v="4"/>
      <x v="2"/>
    </i>
    <i r="2">
      <x v="29"/>
    </i>
    <i r="2">
      <x v="43"/>
    </i>
    <i r="1">
      <x v="7"/>
      <x v="26"/>
    </i>
    <i r="1">
      <x v="8"/>
      <x v="44"/>
    </i>
    <i r="1">
      <x v="9"/>
      <x v="3"/>
    </i>
    <i r="1">
      <x v="10"/>
      <x v="27"/>
    </i>
    <i r="1">
      <x v="11"/>
      <x v="28"/>
    </i>
    <i r="1">
      <x v="12"/>
      <x v="36"/>
    </i>
    <i r="1">
      <x v="13"/>
      <x v="35"/>
    </i>
    <i r="1">
      <x v="14"/>
      <x v="32"/>
    </i>
    <i r="1">
      <x v="15"/>
      <x v="24"/>
    </i>
    <i r="1">
      <x v="16"/>
      <x v="50"/>
    </i>
    <i r="1">
      <x v="17"/>
      <x v="25"/>
    </i>
    <i r="2">
      <x v="45"/>
    </i>
    <i r="1">
      <x v="19"/>
      <x v="23"/>
    </i>
    <i t="blank">
      <x v="44"/>
    </i>
    <i>
      <x v="45"/>
    </i>
    <i r="1">
      <x/>
      <x v="33"/>
    </i>
    <i r="1">
      <x v="1"/>
      <x v="38"/>
    </i>
    <i r="1">
      <x v="2"/>
      <x v="40"/>
    </i>
    <i r="1">
      <x v="3"/>
      <x v="2"/>
    </i>
    <i r="1">
      <x v="4"/>
      <x v="1"/>
    </i>
    <i r="1">
      <x v="5"/>
      <x v="29"/>
    </i>
    <i r="1">
      <x v="6"/>
      <x v="27"/>
    </i>
    <i r="1">
      <x v="7"/>
      <x v="3"/>
    </i>
    <i r="1">
      <x v="8"/>
      <x v="43"/>
    </i>
    <i r="1">
      <x v="9"/>
      <x v="44"/>
    </i>
    <i r="1">
      <x v="10"/>
      <x v="28"/>
    </i>
    <i r="1">
      <x v="11"/>
      <x v="36"/>
    </i>
    <i r="1">
      <x v="12"/>
      <x v="35"/>
    </i>
    <i r="1">
      <x v="13"/>
      <x v="32"/>
    </i>
    <i r="1">
      <x v="14"/>
      <x v="24"/>
    </i>
    <i r="1">
      <x v="15"/>
      <x v="26"/>
    </i>
    <i r="1">
      <x v="16"/>
      <x v="13"/>
    </i>
    <i r="1">
      <x v="17"/>
      <x v="47"/>
    </i>
    <i r="1">
      <x v="18"/>
      <x v="11"/>
    </i>
    <i r="2">
      <x v="23"/>
    </i>
    <i r="2">
      <x v="25"/>
    </i>
    <i r="2">
      <x v="50"/>
    </i>
    <i t="blank">
      <x v="45"/>
    </i>
    <i>
      <x v="46"/>
    </i>
    <i r="1">
      <x/>
      <x v="33"/>
    </i>
    <i r="1">
      <x v="1"/>
      <x v="40"/>
    </i>
    <i r="1">
      <x v="2"/>
      <x v="1"/>
    </i>
    <i r="1">
      <x v="3"/>
      <x v="38"/>
    </i>
    <i r="1">
      <x v="4"/>
      <x v="2"/>
    </i>
    <i r="1">
      <x v="5"/>
      <x v="27"/>
    </i>
    <i r="1">
      <x v="6"/>
      <x v="3"/>
    </i>
    <i r="1">
      <x v="7"/>
      <x v="43"/>
    </i>
    <i r="1">
      <x v="8"/>
      <x v="29"/>
    </i>
    <i r="1">
      <x v="9"/>
      <x v="44"/>
    </i>
    <i r="1">
      <x v="10"/>
      <x v="28"/>
    </i>
    <i r="1">
      <x v="11"/>
      <x v="26"/>
    </i>
    <i r="2">
      <x v="35"/>
    </i>
    <i r="2">
      <x v="36"/>
    </i>
    <i r="1">
      <x v="14"/>
      <x v="11"/>
    </i>
    <i r="2">
      <x v="23"/>
    </i>
    <i r="2">
      <x v="25"/>
    </i>
    <i r="2">
      <x v="45"/>
    </i>
    <i r="1">
      <x v="18"/>
      <x v="16"/>
    </i>
    <i r="1">
      <x v="19"/>
      <x v="41"/>
    </i>
    <i r="2">
      <x v="47"/>
    </i>
    <i t="blank">
      <x v="46"/>
    </i>
    <i>
      <x v="47"/>
    </i>
    <i r="1">
      <x/>
      <x v="33"/>
    </i>
    <i r="1">
      <x v="1"/>
      <x v="40"/>
    </i>
    <i r="1">
      <x v="2"/>
      <x v="1"/>
    </i>
    <i r="1">
      <x v="3"/>
      <x v="2"/>
    </i>
    <i r="1">
      <x v="4"/>
      <x v="38"/>
    </i>
    <i r="1">
      <x v="5"/>
      <x v="11"/>
    </i>
    <i r="1">
      <x v="6"/>
      <x v="3"/>
    </i>
    <i r="1">
      <x v="7"/>
      <x v="13"/>
    </i>
    <i r="1">
      <x v="8"/>
      <x v="27"/>
    </i>
    <i r="1">
      <x v="9"/>
      <x v="43"/>
    </i>
    <i r="1">
      <x v="10"/>
      <x v="15"/>
    </i>
    <i r="1">
      <x v="11"/>
      <x v="29"/>
    </i>
    <i r="1">
      <x v="12"/>
      <x v="47"/>
    </i>
    <i r="1">
      <x v="13"/>
      <x v="28"/>
    </i>
    <i r="1">
      <x v="14"/>
      <x v="44"/>
    </i>
    <i r="1">
      <x v="15"/>
      <x v="36"/>
    </i>
    <i r="1">
      <x v="16"/>
      <x v="9"/>
    </i>
    <i r="2">
      <x v="23"/>
    </i>
    <i r="1">
      <x v="18"/>
      <x v="12"/>
    </i>
    <i r="2">
      <x v="35"/>
    </i>
    <i t="blank">
      <x v="47"/>
    </i>
    <i>
      <x v="48"/>
    </i>
    <i r="1">
      <x/>
      <x v="38"/>
    </i>
    <i r="1">
      <x v="1"/>
      <x v="1"/>
    </i>
    <i r="1">
      <x v="2"/>
      <x v="29"/>
    </i>
    <i r="1">
      <x v="3"/>
      <x v="40"/>
    </i>
    <i r="1">
      <x v="4"/>
      <x v="33"/>
    </i>
    <i r="1">
      <x v="5"/>
      <x v="2"/>
    </i>
    <i r="1">
      <x v="6"/>
      <x v="27"/>
    </i>
    <i r="1">
      <x v="7"/>
      <x v="28"/>
    </i>
    <i r="1">
      <x v="8"/>
      <x v="36"/>
    </i>
    <i r="1">
      <x v="9"/>
      <x v="26"/>
    </i>
    <i r="1">
      <x v="10"/>
      <x v="35"/>
    </i>
    <i r="1">
      <x v="11"/>
      <x v="43"/>
    </i>
    <i r="2">
      <x v="44"/>
    </i>
    <i r="1">
      <x v="13"/>
      <x v="32"/>
    </i>
    <i r="1">
      <x v="14"/>
      <x v="3"/>
    </i>
    <i r="2">
      <x v="42"/>
    </i>
    <i r="1">
      <x v="16"/>
      <x v="30"/>
    </i>
    <i r="1">
      <x v="17"/>
      <x v="41"/>
    </i>
    <i r="1">
      <x v="18"/>
      <x v="17"/>
    </i>
    <i r="2">
      <x v="25"/>
    </i>
    <i r="2">
      <x v="50"/>
    </i>
    <i t="blank">
      <x v="48"/>
    </i>
    <i>
      <x v="49"/>
    </i>
    <i r="1">
      <x/>
      <x v="33"/>
    </i>
    <i r="1">
      <x v="1"/>
      <x v="38"/>
    </i>
    <i r="1">
      <x v="2"/>
      <x v="40"/>
    </i>
    <i r="1">
      <x v="3"/>
      <x v="1"/>
    </i>
    <i r="1">
      <x v="4"/>
      <x v="2"/>
    </i>
    <i r="1">
      <x v="5"/>
      <x v="29"/>
    </i>
    <i r="1">
      <x v="6"/>
      <x v="43"/>
    </i>
    <i r="1">
      <x v="7"/>
      <x v="28"/>
    </i>
    <i r="1">
      <x v="8"/>
      <x v="27"/>
    </i>
    <i r="1">
      <x v="9"/>
      <x v="3"/>
    </i>
    <i r="1">
      <x v="10"/>
      <x v="44"/>
    </i>
    <i r="1">
      <x v="11"/>
      <x v="13"/>
    </i>
    <i r="1">
      <x v="12"/>
      <x v="23"/>
    </i>
    <i r="1">
      <x v="13"/>
      <x v="47"/>
    </i>
    <i r="1">
      <x v="14"/>
      <x v="11"/>
    </i>
    <i r="1">
      <x v="15"/>
      <x v="36"/>
    </i>
    <i r="1">
      <x v="16"/>
      <x v="20"/>
    </i>
    <i r="2">
      <x v="32"/>
    </i>
    <i r="1">
      <x v="18"/>
      <x v="15"/>
    </i>
    <i r="2">
      <x v="41"/>
    </i>
    <i t="blank">
      <x v="49"/>
    </i>
    <i>
      <x v="50"/>
    </i>
    <i r="1">
      <x/>
      <x v="33"/>
    </i>
    <i r="1">
      <x v="1"/>
      <x v="40"/>
    </i>
    <i r="1">
      <x v="2"/>
      <x v="29"/>
    </i>
    <i r="2">
      <x v="38"/>
    </i>
    <i r="1">
      <x v="4"/>
      <x v="27"/>
    </i>
    <i r="1">
      <x v="5"/>
      <x v="43"/>
    </i>
    <i r="1">
      <x v="6"/>
      <x v="1"/>
    </i>
    <i r="1">
      <x v="7"/>
      <x v="44"/>
    </i>
    <i r="1">
      <x v="8"/>
      <x v="2"/>
    </i>
    <i r="1">
      <x v="9"/>
      <x v="35"/>
    </i>
    <i r="1">
      <x v="10"/>
      <x v="28"/>
    </i>
    <i r="1">
      <x v="11"/>
      <x v="36"/>
    </i>
    <i r="1">
      <x v="12"/>
      <x v="3"/>
    </i>
    <i r="1">
      <x v="13"/>
      <x v="32"/>
    </i>
    <i r="1">
      <x v="14"/>
      <x v="17"/>
    </i>
    <i r="2">
      <x v="26"/>
    </i>
    <i r="1">
      <x v="16"/>
      <x v="23"/>
    </i>
    <i r="2">
      <x v="25"/>
    </i>
    <i r="1">
      <x v="18"/>
      <x v="22"/>
    </i>
    <i r="2">
      <x v="31"/>
    </i>
    <i r="2">
      <x v="50"/>
    </i>
    <i t="blank">
      <x v="50"/>
    </i>
    <i>
      <x v="51"/>
    </i>
    <i r="1">
      <x/>
      <x v="33"/>
    </i>
    <i r="1">
      <x v="1"/>
      <x v="40"/>
    </i>
    <i r="1">
      <x v="2"/>
      <x v="38"/>
    </i>
    <i r="1">
      <x v="3"/>
      <x v="27"/>
    </i>
    <i r="1">
      <x v="4"/>
      <x v="29"/>
    </i>
    <i r="1">
      <x v="5"/>
      <x v="43"/>
    </i>
    <i r="1">
      <x v="6"/>
      <x v="1"/>
    </i>
    <i r="2">
      <x v="44"/>
    </i>
    <i r="1">
      <x v="8"/>
      <x v="2"/>
    </i>
    <i r="1">
      <x v="9"/>
      <x v="26"/>
    </i>
    <i r="1">
      <x v="10"/>
      <x v="35"/>
    </i>
    <i r="2">
      <x v="36"/>
    </i>
    <i r="1">
      <x v="12"/>
      <x v="28"/>
    </i>
    <i r="1">
      <x v="13"/>
      <x v="30"/>
    </i>
    <i r="1">
      <x v="14"/>
      <x v="32"/>
    </i>
    <i r="1">
      <x v="15"/>
      <x v="3"/>
    </i>
    <i r="1">
      <x v="16"/>
      <x v="41"/>
    </i>
    <i r="2">
      <x v="45"/>
    </i>
    <i r="1">
      <x v="18"/>
      <x v="13"/>
    </i>
    <i r="2">
      <x v="39"/>
    </i>
    <i t="blank">
      <x v="51"/>
    </i>
    <i>
      <x v="52"/>
    </i>
    <i r="1">
      <x/>
      <x v="1"/>
    </i>
    <i r="1">
      <x v="1"/>
      <x v="33"/>
    </i>
    <i r="1">
      <x v="2"/>
      <x v="2"/>
    </i>
    <i r="1">
      <x v="3"/>
      <x v="40"/>
    </i>
    <i r="1">
      <x v="4"/>
      <x v="11"/>
    </i>
    <i r="2">
      <x v="28"/>
    </i>
    <i r="1">
      <x v="6"/>
      <x v="3"/>
    </i>
    <i r="1">
      <x v="7"/>
      <x v="38"/>
    </i>
    <i r="1">
      <x v="8"/>
      <x v="27"/>
    </i>
    <i r="2">
      <x v="29"/>
    </i>
    <i r="1">
      <x v="10"/>
      <x v="13"/>
    </i>
    <i r="2">
      <x v="30"/>
    </i>
    <i r="2">
      <x v="47"/>
    </i>
    <i r="1">
      <x v="13"/>
      <x v="9"/>
    </i>
    <i r="2">
      <x v="23"/>
    </i>
    <i r="1">
      <x v="15"/>
      <x v="22"/>
    </i>
    <i r="2">
      <x v="44"/>
    </i>
    <i r="1">
      <x v="17"/>
      <x v="12"/>
    </i>
    <i r="2">
      <x v="32"/>
    </i>
    <i r="2">
      <x v="36"/>
    </i>
    <i r="2">
      <x v="43"/>
    </i>
    <i t="blank">
      <x v="52"/>
    </i>
    <i>
      <x v="53"/>
    </i>
    <i r="1">
      <x/>
      <x v="33"/>
    </i>
    <i r="1">
      <x v="1"/>
      <x v="38"/>
    </i>
    <i r="1">
      <x v="2"/>
      <x v="1"/>
    </i>
    <i r="1">
      <x v="3"/>
      <x v="40"/>
    </i>
    <i r="1">
      <x v="4"/>
      <x v="2"/>
    </i>
    <i r="1">
      <x v="5"/>
      <x v="3"/>
    </i>
    <i r="1">
      <x v="6"/>
      <x v="27"/>
    </i>
    <i r="1">
      <x v="7"/>
      <x v="29"/>
    </i>
    <i r="2">
      <x v="44"/>
    </i>
    <i r="1">
      <x v="9"/>
      <x v="28"/>
    </i>
    <i r="1">
      <x v="10"/>
      <x v="43"/>
    </i>
    <i r="1">
      <x v="11"/>
      <x v="23"/>
    </i>
    <i r="2">
      <x v="36"/>
    </i>
    <i r="2">
      <x v="50"/>
    </i>
    <i r="1">
      <x v="14"/>
      <x v="16"/>
    </i>
    <i r="2">
      <x v="25"/>
    </i>
    <i r="2">
      <x v="42"/>
    </i>
    <i r="1">
      <x v="17"/>
      <x v="26"/>
    </i>
    <i r="2">
      <x v="35"/>
    </i>
    <i r="1">
      <x v="19"/>
      <x v="41"/>
    </i>
    <i r="2">
      <x v="45"/>
    </i>
    <i r="2">
      <x v="47"/>
    </i>
    <i t="blank">
      <x v="53"/>
    </i>
    <i>
      <x v="54"/>
    </i>
    <i r="1">
      <x/>
      <x v="33"/>
    </i>
    <i r="1">
      <x v="1"/>
      <x v="38"/>
    </i>
    <i r="1">
      <x v="2"/>
      <x v="40"/>
    </i>
    <i r="1">
      <x v="3"/>
      <x v="29"/>
    </i>
    <i r="1">
      <x v="4"/>
      <x v="1"/>
    </i>
    <i r="1">
      <x v="5"/>
      <x v="27"/>
    </i>
    <i r="1">
      <x v="6"/>
      <x v="2"/>
    </i>
    <i r="1">
      <x v="7"/>
      <x v="36"/>
    </i>
    <i r="1">
      <x v="8"/>
      <x v="3"/>
    </i>
    <i r="2">
      <x v="26"/>
    </i>
    <i r="2">
      <x v="43"/>
    </i>
    <i r="2">
      <x v="44"/>
    </i>
    <i r="1">
      <x v="12"/>
      <x v="35"/>
    </i>
    <i r="2">
      <x v="37"/>
    </i>
    <i r="2">
      <x v="39"/>
    </i>
    <i r="2">
      <x v="47"/>
    </i>
    <i r="1">
      <x v="16"/>
      <x v="28"/>
    </i>
    <i r="1">
      <x v="17"/>
      <x v="23"/>
    </i>
    <i r="2">
      <x v="25"/>
    </i>
    <i r="1">
      <x v="19"/>
      <x v="32"/>
    </i>
    <i r="2">
      <x v="42"/>
    </i>
    <i t="blank">
      <x v="54"/>
    </i>
    <i>
      <x v="55"/>
    </i>
    <i r="1">
      <x/>
      <x v="27"/>
    </i>
    <i r="1">
      <x v="1"/>
      <x v="1"/>
    </i>
    <i r="1">
      <x v="2"/>
      <x v="29"/>
    </i>
    <i r="2">
      <x v="33"/>
    </i>
    <i r="1">
      <x v="4"/>
      <x v="40"/>
    </i>
    <i r="1">
      <x v="5"/>
      <x v="38"/>
    </i>
    <i r="1">
      <x v="6"/>
      <x v="2"/>
    </i>
    <i r="1">
      <x v="7"/>
      <x v="43"/>
    </i>
    <i r="1">
      <x v="8"/>
      <x v="3"/>
    </i>
    <i r="1">
      <x v="9"/>
      <x v="28"/>
    </i>
    <i r="1">
      <x v="10"/>
      <x v="37"/>
    </i>
    <i r="1">
      <x v="11"/>
      <x v="26"/>
    </i>
    <i r="2">
      <x v="47"/>
    </i>
    <i r="1">
      <x v="13"/>
      <x v="25"/>
    </i>
    <i r="1">
      <x v="14"/>
      <x v="9"/>
    </i>
    <i r="2">
      <x v="11"/>
    </i>
    <i r="2">
      <x v="20"/>
    </i>
    <i r="2">
      <x v="23"/>
    </i>
    <i r="2">
      <x v="44"/>
    </i>
    <i r="1">
      <x v="19"/>
      <x v="6"/>
    </i>
    <i r="2">
      <x v="7"/>
    </i>
    <i r="2">
      <x v="16"/>
    </i>
    <i r="2">
      <x v="32"/>
    </i>
    <i r="2">
      <x v="36"/>
    </i>
    <i t="blank">
      <x v="55"/>
    </i>
    <i>
      <x v="56"/>
    </i>
    <i r="1">
      <x/>
      <x v="33"/>
    </i>
    <i r="1">
      <x v="1"/>
      <x v="40"/>
    </i>
    <i r="1">
      <x v="2"/>
      <x v="38"/>
    </i>
    <i r="1">
      <x v="3"/>
      <x v="1"/>
    </i>
    <i r="1">
      <x v="4"/>
      <x v="27"/>
    </i>
    <i r="1">
      <x v="5"/>
      <x v="29"/>
    </i>
    <i r="2">
      <x v="43"/>
    </i>
    <i r="1">
      <x v="7"/>
      <x v="28"/>
    </i>
    <i r="1">
      <x v="8"/>
      <x v="44"/>
    </i>
    <i r="1">
      <x v="9"/>
      <x v="3"/>
    </i>
    <i r="1">
      <x v="10"/>
      <x v="2"/>
    </i>
    <i r="1">
      <x v="11"/>
      <x v="32"/>
    </i>
    <i r="1">
      <x v="12"/>
      <x v="35"/>
    </i>
    <i r="2">
      <x v="50"/>
    </i>
    <i r="1">
      <x v="14"/>
      <x v="26"/>
    </i>
    <i r="2">
      <x v="39"/>
    </i>
    <i r="1">
      <x v="16"/>
      <x v="11"/>
    </i>
    <i r="2">
      <x v="36"/>
    </i>
    <i r="1">
      <x v="18"/>
      <x v="23"/>
    </i>
    <i r="2">
      <x v="24"/>
    </i>
    <i t="blank">
      <x v="56"/>
    </i>
    <i>
      <x v="57"/>
    </i>
    <i r="1">
      <x/>
      <x v="37"/>
    </i>
    <i r="1">
      <x v="1"/>
      <x v="38"/>
    </i>
    <i r="1">
      <x v="2"/>
      <x v="33"/>
    </i>
    <i r="1">
      <x v="3"/>
      <x v="29"/>
    </i>
    <i r="1">
      <x v="4"/>
      <x v="27"/>
    </i>
    <i r="1">
      <x v="5"/>
      <x v="1"/>
    </i>
    <i r="1">
      <x v="6"/>
      <x v="40"/>
    </i>
    <i r="1">
      <x v="7"/>
      <x v="3"/>
    </i>
    <i r="1">
      <x v="8"/>
      <x v="2"/>
    </i>
    <i r="1">
      <x v="9"/>
      <x v="26"/>
    </i>
    <i r="1">
      <x v="10"/>
      <x v="39"/>
    </i>
    <i r="2">
      <x v="43"/>
    </i>
    <i r="1">
      <x v="12"/>
      <x v="42"/>
    </i>
    <i r="2">
      <x v="44"/>
    </i>
    <i r="2">
      <x v="50"/>
    </i>
    <i r="1">
      <x v="15"/>
      <x v="36"/>
    </i>
    <i r="1">
      <x v="16"/>
      <x v="6"/>
    </i>
    <i r="2">
      <x v="22"/>
    </i>
    <i r="1">
      <x v="18"/>
      <x v="34"/>
    </i>
    <i r="2">
      <x v="41"/>
    </i>
    <i t="blank">
      <x v="57"/>
    </i>
    <i>
      <x v="58"/>
    </i>
    <i r="1">
      <x/>
      <x v="38"/>
    </i>
    <i r="1">
      <x v="1"/>
      <x v="29"/>
    </i>
    <i r="2">
      <x v="40"/>
    </i>
    <i r="1">
      <x v="3"/>
      <x v="27"/>
    </i>
    <i r="2">
      <x v="33"/>
    </i>
    <i r="1">
      <x v="5"/>
      <x v="37"/>
    </i>
    <i r="1">
      <x v="6"/>
      <x v="1"/>
    </i>
    <i r="2">
      <x v="2"/>
    </i>
    <i r="2">
      <x v="10"/>
    </i>
    <i r="1">
      <x v="9"/>
      <x/>
    </i>
    <i r="2">
      <x v="3"/>
    </i>
    <i r="1">
      <x v="11"/>
      <x v="4"/>
    </i>
    <i r="2">
      <x v="28"/>
    </i>
    <i r="2">
      <x v="32"/>
    </i>
    <i r="2">
      <x v="42"/>
    </i>
    <i r="2">
      <x v="44"/>
    </i>
    <i r="1">
      <x v="16"/>
      <x v="25"/>
    </i>
    <i r="2">
      <x v="45"/>
    </i>
    <i r="1">
      <x v="18"/>
      <x v="17"/>
    </i>
    <i r="2">
      <x v="18"/>
    </i>
    <i r="2">
      <x v="23"/>
    </i>
    <i r="2">
      <x v="26"/>
    </i>
    <i r="2">
      <x v="30"/>
    </i>
    <i r="2">
      <x v="34"/>
    </i>
    <i r="2">
      <x v="41"/>
    </i>
    <i t="blank">
      <x v="58"/>
    </i>
    <i>
      <x v="59"/>
    </i>
    <i r="1">
      <x/>
      <x v="38"/>
    </i>
    <i r="1">
      <x v="1"/>
      <x v="40"/>
    </i>
    <i r="1">
      <x v="2"/>
      <x v="33"/>
    </i>
    <i r="1">
      <x v="3"/>
      <x v="27"/>
    </i>
    <i r="1">
      <x v="4"/>
      <x v="29"/>
    </i>
    <i r="1">
      <x v="5"/>
      <x v="1"/>
    </i>
    <i r="1">
      <x v="6"/>
      <x v="2"/>
    </i>
    <i r="1">
      <x v="7"/>
      <x v="3"/>
    </i>
    <i r="1">
      <x v="8"/>
      <x v="26"/>
    </i>
    <i r="1">
      <x v="9"/>
      <x v="37"/>
    </i>
    <i r="1">
      <x v="10"/>
      <x v="44"/>
    </i>
    <i r="1">
      <x v="11"/>
      <x v="43"/>
    </i>
    <i r="1">
      <x v="12"/>
      <x v="32"/>
    </i>
    <i r="1">
      <x v="13"/>
      <x v="36"/>
    </i>
    <i r="1">
      <x v="14"/>
      <x v="28"/>
    </i>
    <i r="1">
      <x v="15"/>
      <x v="22"/>
    </i>
    <i r="1">
      <x v="16"/>
      <x v="4"/>
    </i>
    <i r="2">
      <x v="42"/>
    </i>
    <i r="1">
      <x v="18"/>
      <x v="35"/>
    </i>
    <i r="1">
      <x v="19"/>
      <x v="39"/>
    </i>
    <i r="2">
      <x v="41"/>
    </i>
    <i t="blank">
      <x v="59"/>
    </i>
    <i>
      <x v="60"/>
    </i>
    <i r="1">
      <x/>
      <x v="38"/>
    </i>
    <i r="1">
      <x v="1"/>
      <x v="1"/>
    </i>
    <i r="1">
      <x v="2"/>
      <x v="2"/>
    </i>
    <i r="1">
      <x v="3"/>
      <x v="40"/>
    </i>
    <i r="1">
      <x v="4"/>
      <x v="33"/>
    </i>
    <i r="1">
      <x v="5"/>
      <x v="3"/>
    </i>
    <i r="1">
      <x v="6"/>
      <x v="27"/>
    </i>
    <i r="1">
      <x v="7"/>
      <x v="29"/>
    </i>
    <i r="1">
      <x v="8"/>
      <x v="11"/>
    </i>
    <i r="1">
      <x v="9"/>
      <x v="5"/>
    </i>
    <i r="1">
      <x v="10"/>
      <x v="28"/>
    </i>
    <i r="2">
      <x v="43"/>
    </i>
    <i r="1">
      <x v="12"/>
      <x v="13"/>
    </i>
    <i r="1">
      <x v="13"/>
      <x v="35"/>
    </i>
    <i r="2">
      <x v="44"/>
    </i>
    <i r="1">
      <x v="15"/>
      <x v="36"/>
    </i>
    <i r="2">
      <x v="47"/>
    </i>
    <i r="1">
      <x v="17"/>
      <x v="23"/>
    </i>
    <i r="2">
      <x v="50"/>
    </i>
    <i r="1">
      <x v="19"/>
      <x v="26"/>
    </i>
    <i r="2">
      <x v="46"/>
    </i>
    <i t="blank">
      <x v="60"/>
    </i>
    <i>
      <x v="61"/>
    </i>
    <i r="1">
      <x/>
      <x v="38"/>
    </i>
    <i r="1">
      <x v="1"/>
      <x v="1"/>
    </i>
    <i r="2">
      <x v="29"/>
    </i>
    <i r="1">
      <x v="3"/>
      <x v="40"/>
    </i>
    <i r="1">
      <x v="4"/>
      <x v="3"/>
    </i>
    <i r="2">
      <x v="43"/>
    </i>
    <i r="2">
      <x v="44"/>
    </i>
    <i r="1">
      <x v="7"/>
      <x v="2"/>
    </i>
    <i r="2">
      <x v="11"/>
    </i>
    <i r="2">
      <x v="27"/>
    </i>
    <i r="2">
      <x v="33"/>
    </i>
    <i r="1">
      <x v="11"/>
      <x v="4"/>
    </i>
    <i r="2">
      <x v="6"/>
    </i>
    <i r="2">
      <x v="26"/>
    </i>
    <i r="2">
      <x v="37"/>
    </i>
    <i r="2">
      <x v="42"/>
    </i>
    <i r="2">
      <x v="47"/>
    </i>
    <i r="1">
      <x v="17"/>
      <x v="12"/>
    </i>
    <i r="2">
      <x v="13"/>
    </i>
    <i r="2">
      <x v="15"/>
    </i>
    <i r="2">
      <x v="23"/>
    </i>
    <i r="2">
      <x v="28"/>
    </i>
    <i r="2">
      <x v="31"/>
    </i>
    <i r="2">
      <x v="32"/>
    </i>
    <i r="2">
      <x v="36"/>
    </i>
    <i r="2">
      <x v="45"/>
    </i>
    <i r="2">
      <x v="46"/>
    </i>
    <i r="2">
      <x v="49"/>
    </i>
    <i r="2">
      <x v="50"/>
    </i>
    <i t="blank">
      <x v="6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905">
      <pivotArea field="5" type="button" dataOnly="0" labelOnly="1" outline="0" axis="axisRow" fieldPosition="0"/>
    </format>
    <format dxfId="904">
      <pivotArea outline="0" fieldPosition="0">
        <references count="1">
          <reference field="4294967294" count="1">
            <x v="0"/>
          </reference>
        </references>
      </pivotArea>
    </format>
    <format dxfId="903">
      <pivotArea outline="0" fieldPosition="0">
        <references count="1">
          <reference field="4294967294" count="1">
            <x v="1"/>
          </reference>
        </references>
      </pivotArea>
    </format>
    <format dxfId="902">
      <pivotArea outline="0" fieldPosition="0">
        <references count="1">
          <reference field="4294967294" count="1">
            <x v="2"/>
          </reference>
        </references>
      </pivotArea>
    </format>
    <format dxfId="901">
      <pivotArea outline="0" fieldPosition="0">
        <references count="1">
          <reference field="4294967294" count="1">
            <x v="3"/>
          </reference>
        </references>
      </pivotArea>
    </format>
    <format dxfId="900">
      <pivotArea outline="0" fieldPosition="0">
        <references count="1">
          <reference field="4294967294" count="1">
            <x v="4"/>
          </reference>
        </references>
      </pivotArea>
    </format>
    <format dxfId="899">
      <pivotArea outline="0" fieldPosition="0">
        <references count="1">
          <reference field="4294967294" count="1">
            <x v="5"/>
          </reference>
        </references>
      </pivotArea>
    </format>
    <format dxfId="898">
      <pivotArea outline="0" fieldPosition="0">
        <references count="1">
          <reference field="4294967294" count="1">
            <x v="6"/>
          </reference>
        </references>
      </pivotArea>
    </format>
    <format dxfId="897">
      <pivotArea field="5" type="button" dataOnly="0" labelOnly="1" outline="0" axis="axisRow" fieldPosition="0"/>
    </format>
    <format dxfId="8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5">
      <pivotArea field="5" type="button" dataOnly="0" labelOnly="1" outline="0" axis="axisRow" fieldPosition="0"/>
    </format>
    <format dxfId="8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3">
      <pivotArea field="5" type="button" dataOnly="0" labelOnly="1" outline="0" axis="axisRow" fieldPosition="0"/>
    </format>
    <format dxfId="8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1">
      <pivotArea field="5" type="button" dataOnly="0" labelOnly="1" outline="0" axis="axisRow" fieldPosition="0"/>
    </format>
    <format dxfId="8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7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25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06" firstHeaderRow="0" firstDataRow="1" firstDataCol="2"/>
  <pivotFields count="19">
    <pivotField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62">
        <item x="60"/>
        <item x="61"/>
        <item x="47"/>
        <item x="43"/>
        <item x="32"/>
        <item x="1"/>
        <item x="13"/>
        <item x="8"/>
        <item x="16"/>
        <item x="9"/>
        <item x="11"/>
        <item x="12"/>
        <item x="10"/>
        <item x="3"/>
        <item x="15"/>
        <item x="4"/>
        <item x="18"/>
        <item x="17"/>
        <item x="5"/>
        <item x="2"/>
        <item x="19"/>
        <item x="6"/>
        <item x="7"/>
        <item x="14"/>
        <item x="44"/>
        <item x="34"/>
        <item x="37"/>
        <item x="41"/>
        <item x="49"/>
        <item x="45"/>
        <item x="48"/>
        <item x="39"/>
        <item x="36"/>
        <item x="0"/>
        <item x="40"/>
        <item x="38"/>
        <item x="20"/>
        <item x="26"/>
        <item x="22"/>
        <item x="24"/>
        <item x="21"/>
        <item x="25"/>
        <item x="23"/>
        <item x="27"/>
        <item x="28"/>
        <item x="30"/>
        <item x="31"/>
        <item x="29"/>
        <item x="58"/>
        <item x="59"/>
        <item x="57"/>
        <item x="56"/>
        <item x="55"/>
        <item x="54"/>
        <item x="53"/>
        <item x="52"/>
        <item x="42"/>
        <item x="50"/>
        <item x="51"/>
        <item x="35"/>
        <item x="46"/>
        <item x="33"/>
      </items>
    </pivotField>
    <pivotField axis="axisRow" showAll="0" insertBlankRow="1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75">
        <item x="69"/>
        <item x="16"/>
        <item x="17"/>
        <item x="36"/>
        <item x="20"/>
        <item x="42"/>
        <item x="54"/>
        <item x="23"/>
        <item x="35"/>
        <item x="40"/>
        <item x="15"/>
        <item x="13"/>
        <item x="71"/>
        <item x="72"/>
        <item x="33"/>
        <item x="59"/>
        <item x="68"/>
        <item x="38"/>
        <item x="52"/>
        <item x="39"/>
        <item x="51"/>
        <item x="61"/>
        <item x="28"/>
        <item x="46"/>
        <item x="64"/>
        <item x="48"/>
        <item x="55"/>
        <item x="18"/>
        <item x="26"/>
        <item x="65"/>
        <item x="56"/>
        <item x="57"/>
        <item x="63"/>
        <item x="27"/>
        <item x="10"/>
        <item x="19"/>
        <item x="73"/>
        <item x="47"/>
        <item x="22"/>
        <item x="53"/>
        <item x="8"/>
        <item x="58"/>
        <item x="14"/>
        <item x="11"/>
        <item x="0"/>
        <item x="34"/>
        <item x="9"/>
        <item x="30"/>
        <item x="25"/>
        <item x="44"/>
        <item x="32"/>
        <item x="21"/>
        <item x="50"/>
        <item x="66"/>
        <item x="45"/>
        <item x="3"/>
        <item x="67"/>
        <item x="70"/>
        <item x="2"/>
        <item x="7"/>
        <item x="31"/>
        <item x="62"/>
        <item x="12"/>
        <item x="6"/>
        <item x="1"/>
        <item x="49"/>
        <item x="37"/>
        <item x="4"/>
        <item x="24"/>
        <item x="5"/>
        <item x="74"/>
        <item x="43"/>
        <item x="41"/>
        <item x="60"/>
        <item x="29"/>
      </items>
    </pivotField>
    <pivotField showAll="0" defaultSubtotal="0">
      <items count="75">
        <item x="69"/>
        <item x="16"/>
        <item x="17"/>
        <item x="36"/>
        <item x="20"/>
        <item x="42"/>
        <item x="54"/>
        <item x="23"/>
        <item x="35"/>
        <item x="40"/>
        <item x="15"/>
        <item x="13"/>
        <item x="71"/>
        <item x="72"/>
        <item x="33"/>
        <item x="59"/>
        <item x="68"/>
        <item x="38"/>
        <item x="52"/>
        <item x="39"/>
        <item x="51"/>
        <item x="61"/>
        <item x="28"/>
        <item x="46"/>
        <item x="64"/>
        <item x="48"/>
        <item x="55"/>
        <item x="18"/>
        <item x="26"/>
        <item x="65"/>
        <item x="56"/>
        <item x="57"/>
        <item x="63"/>
        <item x="27"/>
        <item x="10"/>
        <item x="19"/>
        <item x="73"/>
        <item x="47"/>
        <item x="22"/>
        <item x="53"/>
        <item x="8"/>
        <item x="58"/>
        <item x="14"/>
        <item x="11"/>
        <item x="0"/>
        <item x="34"/>
        <item x="9"/>
        <item x="30"/>
        <item x="25"/>
        <item x="44"/>
        <item x="32"/>
        <item x="21"/>
        <item x="50"/>
        <item x="66"/>
        <item x="45"/>
        <item x="3"/>
        <item x="67"/>
        <item x="70"/>
        <item x="2"/>
        <item x="7"/>
        <item x="31"/>
        <item x="62"/>
        <item x="12"/>
        <item x="6"/>
        <item x="1"/>
        <item x="49"/>
        <item x="37"/>
        <item x="4"/>
        <item x="24"/>
        <item x="5"/>
        <item x="74"/>
        <item x="43"/>
        <item x="41"/>
        <item x="60"/>
        <item x="29"/>
      </items>
    </pivotField>
    <pivotField showAll="0" defaultSubtotal="0">
      <items count="75">
        <item x="47"/>
        <item x="70"/>
        <item x="53"/>
        <item x="10"/>
        <item x="49"/>
        <item x="66"/>
        <item x="26"/>
        <item x="40"/>
        <item x="39"/>
        <item x="32"/>
        <item x="67"/>
        <item x="28"/>
        <item x="7"/>
        <item x="71"/>
        <item x="22"/>
        <item x="74"/>
        <item x="64"/>
        <item x="46"/>
        <item x="33"/>
        <item x="73"/>
        <item x="27"/>
        <item x="65"/>
        <item x="37"/>
        <item x="13"/>
        <item x="31"/>
        <item x="4"/>
        <item x="52"/>
        <item x="44"/>
        <item x="38"/>
        <item x="20"/>
        <item x="17"/>
        <item x="55"/>
        <item x="60"/>
        <item x="25"/>
        <item x="59"/>
        <item x="68"/>
        <item x="69"/>
        <item x="24"/>
        <item x="51"/>
        <item x="19"/>
        <item x="41"/>
        <item x="63"/>
        <item x="2"/>
        <item x="35"/>
        <item x="43"/>
        <item x="45"/>
        <item x="72"/>
        <item x="3"/>
        <item x="12"/>
        <item x="57"/>
        <item x="29"/>
        <item x="8"/>
        <item x="61"/>
        <item x="0"/>
        <item x="42"/>
        <item x="34"/>
        <item x="58"/>
        <item x="15"/>
        <item x="23"/>
        <item x="21"/>
        <item x="16"/>
        <item x="48"/>
        <item x="62"/>
        <item x="54"/>
        <item x="1"/>
        <item x="9"/>
        <item x="14"/>
        <item x="11"/>
        <item x="18"/>
        <item x="30"/>
        <item x="36"/>
        <item x="56"/>
        <item x="6"/>
        <item x="50"/>
        <item x="5"/>
      </items>
    </pivotField>
    <pivotField axis="axisRow" showAll="0" defaultSubtotal="0">
      <items count="75">
        <item x="69"/>
        <item x="16"/>
        <item x="17"/>
        <item x="36"/>
        <item x="20"/>
        <item x="42"/>
        <item x="54"/>
        <item x="23"/>
        <item x="35"/>
        <item x="40"/>
        <item x="15"/>
        <item x="13"/>
        <item x="71"/>
        <item x="72"/>
        <item x="33"/>
        <item x="59"/>
        <item x="68"/>
        <item x="38"/>
        <item x="52"/>
        <item x="39"/>
        <item x="51"/>
        <item x="61"/>
        <item x="28"/>
        <item x="46"/>
        <item x="64"/>
        <item x="48"/>
        <item x="55"/>
        <item x="18"/>
        <item x="26"/>
        <item x="65"/>
        <item x="56"/>
        <item x="57"/>
        <item x="63"/>
        <item x="27"/>
        <item x="10"/>
        <item x="19"/>
        <item x="73"/>
        <item x="47"/>
        <item x="22"/>
        <item x="53"/>
        <item x="8"/>
        <item x="58"/>
        <item x="14"/>
        <item x="11"/>
        <item x="0"/>
        <item x="34"/>
        <item x="9"/>
        <item x="30"/>
        <item x="25"/>
        <item x="44"/>
        <item x="32"/>
        <item x="21"/>
        <item x="50"/>
        <item x="66"/>
        <item x="45"/>
        <item x="3"/>
        <item x="67"/>
        <item x="70"/>
        <item x="2"/>
        <item x="7"/>
        <item x="31"/>
        <item x="62"/>
        <item x="12"/>
        <item x="6"/>
        <item x="1"/>
        <item x="49"/>
        <item x="37"/>
        <item x="4"/>
        <item x="24"/>
        <item x="5"/>
        <item x="74"/>
        <item x="43"/>
        <item x="41"/>
        <item x="60"/>
        <item x="2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90">
        <item x="289"/>
        <item x="288"/>
        <item x="287"/>
        <item x="286"/>
        <item x="285"/>
        <item x="284"/>
        <item x="283"/>
        <item x="282"/>
        <item x="281"/>
        <item x="280"/>
        <item x="278"/>
        <item x="277"/>
        <item x="279"/>
        <item x="271"/>
        <item x="171"/>
        <item x="270"/>
        <item x="269"/>
        <item x="170"/>
        <item x="169"/>
        <item x="168"/>
        <item x="167"/>
        <item x="166"/>
        <item x="165"/>
        <item x="268"/>
        <item x="267"/>
        <item x="164"/>
        <item x="162"/>
        <item x="134"/>
        <item x="161"/>
        <item x="133"/>
        <item x="163"/>
        <item x="138"/>
        <item x="132"/>
        <item x="131"/>
        <item x="160"/>
        <item x="125"/>
        <item x="130"/>
        <item x="129"/>
        <item x="124"/>
        <item x="173"/>
        <item x="123"/>
        <item x="88"/>
        <item x="87"/>
        <item x="122"/>
        <item x="128"/>
        <item x="86"/>
        <item x="114"/>
        <item x="113"/>
        <item x="112"/>
        <item x="111"/>
        <item x="85"/>
        <item x="59"/>
        <item x="58"/>
        <item x="74"/>
        <item x="73"/>
        <item x="137"/>
        <item x="110"/>
        <item x="57"/>
        <item x="121"/>
        <item x="120"/>
        <item x="56"/>
        <item x="72"/>
        <item x="109"/>
        <item x="177"/>
        <item x="55"/>
        <item x="71"/>
        <item x="84"/>
        <item x="54"/>
        <item x="119"/>
        <item x="149"/>
        <item x="70"/>
        <item x="83"/>
        <item x="152"/>
        <item x="82"/>
        <item x="81"/>
        <item x="69"/>
        <item x="68"/>
        <item x="159"/>
        <item x="148"/>
        <item x="202"/>
        <item x="172"/>
        <item x="157"/>
        <item x="118"/>
        <item x="117"/>
        <item x="53"/>
        <item x="67"/>
        <item x="52"/>
        <item x="156"/>
        <item x="80"/>
        <item x="104"/>
        <item x="79"/>
        <item x="208"/>
        <item x="239"/>
        <item x="204"/>
        <item x="66"/>
        <item x="51"/>
        <item x="151"/>
        <item x="50"/>
        <item x="65"/>
        <item x="213"/>
        <item x="78"/>
        <item x="103"/>
        <item x="49"/>
        <item x="147"/>
        <item x="108"/>
        <item x="127"/>
        <item x="64"/>
        <item x="155"/>
        <item x="77"/>
        <item x="63"/>
        <item x="48"/>
        <item x="210"/>
        <item x="102"/>
        <item x="47"/>
        <item x="265"/>
        <item x="230"/>
        <item x="238"/>
        <item x="237"/>
        <item x="273"/>
        <item x="212"/>
        <item x="76"/>
        <item x="178"/>
        <item x="146"/>
        <item x="107"/>
        <item x="46"/>
        <item x="248"/>
        <item x="101"/>
        <item x="253"/>
        <item x="145"/>
        <item x="45"/>
        <item x="62"/>
        <item x="126"/>
        <item x="144"/>
        <item x="143"/>
        <item x="201"/>
        <item x="116"/>
        <item x="176"/>
        <item x="136"/>
        <item x="44"/>
        <item x="100"/>
        <item x="247"/>
        <item x="158"/>
        <item x="214"/>
        <item x="236"/>
        <item x="256"/>
        <item x="142"/>
        <item x="43"/>
        <item x="150"/>
        <item x="61"/>
        <item x="99"/>
        <item x="264"/>
        <item x="233"/>
        <item x="252"/>
        <item x="175"/>
        <item x="98"/>
        <item x="141"/>
        <item x="203"/>
        <item x="97"/>
        <item x="154"/>
        <item x="263"/>
        <item x="232"/>
        <item x="75"/>
        <item x="106"/>
        <item x="42"/>
        <item x="207"/>
        <item x="206"/>
        <item x="262"/>
        <item x="275"/>
        <item x="229"/>
        <item x="228"/>
        <item x="255"/>
        <item x="174"/>
        <item x="96"/>
        <item x="200"/>
        <item x="95"/>
        <item x="231"/>
        <item x="227"/>
        <item x="251"/>
        <item x="140"/>
        <item x="226"/>
        <item x="246"/>
        <item x="261"/>
        <item x="41"/>
        <item x="225"/>
        <item x="224"/>
        <item x="245"/>
        <item x="266"/>
        <item x="115"/>
        <item x="105"/>
        <item x="223"/>
        <item x="94"/>
        <item x="93"/>
        <item x="205"/>
        <item x="260"/>
        <item x="244"/>
        <item x="235"/>
        <item x="135"/>
        <item x="259"/>
        <item x="40"/>
        <item x="211"/>
        <item x="222"/>
        <item x="250"/>
        <item x="198"/>
        <item x="243"/>
        <item x="197"/>
        <item x="196"/>
        <item x="92"/>
        <item x="195"/>
        <item x="194"/>
        <item x="199"/>
        <item x="254"/>
        <item x="209"/>
        <item x="91"/>
        <item x="153"/>
        <item x="221"/>
        <item x="193"/>
        <item x="220"/>
        <item x="90"/>
        <item x="192"/>
        <item x="276"/>
        <item x="258"/>
        <item x="89"/>
        <item x="234"/>
        <item x="274"/>
        <item x="242"/>
        <item x="241"/>
        <item x="219"/>
        <item x="191"/>
        <item x="218"/>
        <item x="190"/>
        <item x="189"/>
        <item x="188"/>
        <item x="249"/>
        <item x="217"/>
        <item x="60"/>
        <item x="187"/>
        <item x="257"/>
        <item x="240"/>
        <item x="186"/>
        <item x="272"/>
        <item x="185"/>
        <item x="184"/>
        <item x="183"/>
        <item x="216"/>
        <item x="139"/>
        <item x="182"/>
        <item x="215"/>
        <item x="39"/>
        <item x="38"/>
        <item x="37"/>
        <item x="181"/>
        <item x="36"/>
        <item x="35"/>
        <item x="180"/>
        <item x="34"/>
        <item x="33"/>
        <item x="32"/>
        <item x="31"/>
        <item x="30"/>
        <item x="29"/>
        <item x="28"/>
        <item x="27"/>
        <item x="26"/>
        <item x="25"/>
        <item x="24"/>
        <item x="179"/>
        <item x="23"/>
        <item x="22"/>
        <item x="19"/>
        <item x="18"/>
        <item x="17"/>
        <item x="16"/>
        <item x="15"/>
        <item x="21"/>
        <item x="14"/>
        <item x="13"/>
        <item x="12"/>
        <item x="11"/>
        <item x="10"/>
        <item x="9"/>
        <item x="8"/>
        <item x="20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6">
        <item x="232"/>
        <item x="235"/>
        <item x="55"/>
        <item x="54"/>
        <item x="214"/>
        <item x="231"/>
        <item x="307"/>
        <item x="213"/>
        <item x="279"/>
        <item x="53"/>
        <item x="220"/>
        <item x="144"/>
        <item x="68"/>
        <item x="219"/>
        <item x="67"/>
        <item x="52"/>
        <item x="230"/>
        <item x="18"/>
        <item x="17"/>
        <item x="207"/>
        <item x="66"/>
        <item x="36"/>
        <item x="51"/>
        <item x="143"/>
        <item x="247"/>
        <item x="92"/>
        <item x="16"/>
        <item x="35"/>
        <item x="50"/>
        <item x="15"/>
        <item x="34"/>
        <item x="33"/>
        <item x="183"/>
        <item x="203"/>
        <item x="91"/>
        <item x="90"/>
        <item x="167"/>
        <item x="102"/>
        <item x="14"/>
        <item x="101"/>
        <item x="125"/>
        <item x="195"/>
        <item x="135"/>
        <item x="166"/>
        <item x="124"/>
        <item x="32"/>
        <item x="116"/>
        <item x="13"/>
        <item x="182"/>
        <item x="65"/>
        <item x="12"/>
        <item x="89"/>
        <item x="191"/>
        <item x="11"/>
        <item x="283"/>
        <item x="10"/>
        <item x="212"/>
        <item x="100"/>
        <item x="246"/>
        <item x="181"/>
        <item x="9"/>
        <item x="31"/>
        <item x="30"/>
        <item x="206"/>
        <item x="262"/>
        <item x="49"/>
        <item x="174"/>
        <item x="142"/>
        <item x="29"/>
        <item x="190"/>
        <item x="115"/>
        <item x="88"/>
        <item x="154"/>
        <item x="114"/>
        <item x="99"/>
        <item x="225"/>
        <item x="153"/>
        <item x="189"/>
        <item x="211"/>
        <item x="152"/>
        <item x="123"/>
        <item x="173"/>
        <item x="64"/>
        <item x="48"/>
        <item x="113"/>
        <item x="188"/>
        <item x="172"/>
        <item x="47"/>
        <item x="134"/>
        <item x="151"/>
        <item x="8"/>
        <item x="112"/>
        <item x="79"/>
        <item x="165"/>
        <item x="180"/>
        <item x="133"/>
        <item x="46"/>
        <item x="111"/>
        <item x="202"/>
        <item x="322"/>
        <item x="110"/>
        <item x="63"/>
        <item x="286"/>
        <item x="62"/>
        <item x="78"/>
        <item x="245"/>
        <item x="141"/>
        <item x="77"/>
        <item x="150"/>
        <item x="28"/>
        <item x="98"/>
        <item x="132"/>
        <item x="45"/>
        <item x="76"/>
        <item x="149"/>
        <item x="179"/>
        <item x="75"/>
        <item x="140"/>
        <item x="44"/>
        <item x="87"/>
        <item x="194"/>
        <item x="7"/>
        <item x="27"/>
        <item x="26"/>
        <item x="241"/>
        <item x="162"/>
        <item x="25"/>
        <item x="61"/>
        <item x="258"/>
        <item x="6"/>
        <item x="109"/>
        <item x="171"/>
        <item x="273"/>
        <item x="60"/>
        <item x="24"/>
        <item x="23"/>
        <item x="298"/>
        <item x="131"/>
        <item x="139"/>
        <item x="43"/>
        <item x="187"/>
        <item x="5"/>
        <item x="218"/>
        <item x="319"/>
        <item x="4"/>
        <item x="161"/>
        <item x="178"/>
        <item x="291"/>
        <item x="108"/>
        <item x="130"/>
        <item x="304"/>
        <item x="107"/>
        <item x="86"/>
        <item x="42"/>
        <item x="160"/>
        <item x="74"/>
        <item x="122"/>
        <item x="282"/>
        <item x="257"/>
        <item x="129"/>
        <item x="138"/>
        <item x="73"/>
        <item x="201"/>
        <item x="159"/>
        <item x="240"/>
        <item x="121"/>
        <item x="22"/>
        <item x="312"/>
        <item x="205"/>
        <item x="158"/>
        <item x="21"/>
        <item x="170"/>
        <item x="41"/>
        <item x="3"/>
        <item x="272"/>
        <item x="106"/>
        <item x="269"/>
        <item x="105"/>
        <item x="59"/>
        <item x="316"/>
        <item x="253"/>
        <item x="128"/>
        <item x="186"/>
        <item x="40"/>
        <item x="148"/>
        <item x="72"/>
        <item x="97"/>
        <item x="265"/>
        <item x="290"/>
        <item x="2"/>
        <item x="252"/>
        <item x="85"/>
        <item x="261"/>
        <item x="84"/>
        <item x="217"/>
        <item x="147"/>
        <item x="224"/>
        <item x="289"/>
        <item x="146"/>
        <item x="278"/>
        <item x="309"/>
        <item x="71"/>
        <item x="193"/>
        <item x="137"/>
        <item x="256"/>
        <item x="157"/>
        <item x="120"/>
        <item x="346"/>
        <item x="58"/>
        <item x="234"/>
        <item x="204"/>
        <item x="177"/>
        <item x="169"/>
        <item x="336"/>
        <item x="39"/>
        <item x="239"/>
        <item x="285"/>
        <item x="328"/>
        <item x="355"/>
        <item x="223"/>
        <item x="96"/>
        <item x="301"/>
        <item x="70"/>
        <item x="277"/>
        <item x="249"/>
        <item x="244"/>
        <item x="350"/>
        <item x="200"/>
        <item x="353"/>
        <item x="210"/>
        <item x="260"/>
        <item x="288"/>
        <item x="95"/>
        <item x="306"/>
        <item x="192"/>
        <item x="83"/>
        <item x="57"/>
        <item x="295"/>
        <item x="327"/>
        <item x="209"/>
        <item x="243"/>
        <item x="222"/>
        <item x="334"/>
        <item x="119"/>
        <item x="199"/>
        <item x="326"/>
        <item x="20"/>
        <item x="229"/>
        <item x="38"/>
        <item x="176"/>
        <item x="345"/>
        <item x="303"/>
        <item x="300"/>
        <item x="238"/>
        <item x="325"/>
        <item x="198"/>
        <item x="276"/>
        <item x="255"/>
        <item x="275"/>
        <item x="352"/>
        <item x="271"/>
        <item x="1"/>
        <item x="82"/>
        <item x="331"/>
        <item x="197"/>
        <item x="228"/>
        <item x="164"/>
        <item x="344"/>
        <item x="227"/>
        <item x="259"/>
        <item x="349"/>
        <item x="251"/>
        <item x="168"/>
        <item x="118"/>
        <item x="354"/>
        <item x="37"/>
        <item x="237"/>
        <item x="104"/>
        <item x="343"/>
        <item x="185"/>
        <item x="324"/>
        <item x="196"/>
        <item x="163"/>
        <item x="264"/>
        <item x="268"/>
        <item x="267"/>
        <item x="311"/>
        <item x="94"/>
        <item x="145"/>
        <item x="348"/>
        <item x="294"/>
        <item x="69"/>
        <item x="81"/>
        <item x="156"/>
        <item x="281"/>
        <item x="216"/>
        <item x="80"/>
        <item x="315"/>
        <item x="284"/>
        <item x="330"/>
        <item x="250"/>
        <item x="127"/>
        <item x="254"/>
        <item x="339"/>
        <item x="342"/>
        <item x="293"/>
        <item x="226"/>
        <item x="297"/>
        <item x="117"/>
        <item x="317"/>
        <item x="266"/>
        <item x="215"/>
        <item x="19"/>
        <item x="93"/>
        <item x="242"/>
        <item x="221"/>
        <item x="296"/>
        <item x="347"/>
        <item x="280"/>
        <item x="248"/>
        <item x="338"/>
        <item x="335"/>
        <item x="0"/>
        <item x="208"/>
        <item x="274"/>
        <item x="184"/>
        <item x="341"/>
        <item x="175"/>
        <item x="292"/>
        <item x="103"/>
        <item x="351"/>
        <item x="308"/>
        <item x="270"/>
        <item x="263"/>
        <item x="236"/>
        <item x="302"/>
        <item x="126"/>
        <item x="287"/>
        <item x="321"/>
        <item x="310"/>
        <item x="318"/>
        <item x="233"/>
        <item x="299"/>
        <item x="333"/>
        <item x="155"/>
        <item x="56"/>
        <item x="136"/>
        <item x="314"/>
        <item x="340"/>
        <item x="323"/>
        <item x="320"/>
        <item x="313"/>
        <item x="329"/>
        <item x="332"/>
        <item x="337"/>
        <item x="305"/>
      </items>
    </pivotField>
    <pivotField dataField="1" showAll="0" defaultSubtotal="0">
      <items count="235">
        <item x="85"/>
        <item x="111"/>
        <item x="53"/>
        <item x="78"/>
        <item x="47"/>
        <item x="57"/>
        <item x="54"/>
        <item x="55"/>
        <item x="59"/>
        <item x="84"/>
        <item x="96"/>
        <item x="51"/>
        <item x="126"/>
        <item x="67"/>
        <item x="58"/>
        <item x="80"/>
        <item x="108"/>
        <item x="56"/>
        <item x="69"/>
        <item x="117"/>
        <item x="149"/>
        <item x="116"/>
        <item x="146"/>
        <item x="225"/>
        <item x="130"/>
        <item x="122"/>
        <item x="79"/>
        <item x="94"/>
        <item x="72"/>
        <item x="142"/>
        <item x="115"/>
        <item x="125"/>
        <item x="120"/>
        <item x="138"/>
        <item x="93"/>
        <item x="152"/>
        <item x="124"/>
        <item x="123"/>
        <item x="74"/>
        <item x="68"/>
        <item x="82"/>
        <item x="166"/>
        <item x="147"/>
        <item x="173"/>
        <item x="112"/>
        <item x="133"/>
        <item x="83"/>
        <item x="77"/>
        <item x="114"/>
        <item x="121"/>
        <item x="29"/>
        <item x="113"/>
        <item x="221"/>
        <item x="71"/>
        <item x="137"/>
        <item x="52"/>
        <item x="97"/>
        <item x="76"/>
        <item x="167"/>
        <item x="81"/>
        <item x="192"/>
        <item x="144"/>
        <item x="70"/>
        <item x="64"/>
        <item x="65"/>
        <item x="103"/>
        <item x="145"/>
        <item x="49"/>
        <item x="136"/>
        <item x="31"/>
        <item x="95"/>
        <item x="141"/>
        <item x="210"/>
        <item x="203"/>
        <item x="134"/>
        <item x="75"/>
        <item x="39"/>
        <item x="66"/>
        <item x="186"/>
        <item x="106"/>
        <item x="172"/>
        <item x="50"/>
        <item x="107"/>
        <item x="110"/>
        <item x="46"/>
        <item x="109"/>
        <item x="48"/>
        <item x="132"/>
        <item x="30"/>
        <item x="193"/>
        <item x="131"/>
        <item x="218"/>
        <item x="102"/>
        <item x="90"/>
        <item x="185"/>
        <item x="100"/>
        <item x="35"/>
        <item x="189"/>
        <item x="165"/>
        <item x="212"/>
        <item x="148"/>
        <item x="150"/>
        <item x="151"/>
        <item x="171"/>
        <item x="119"/>
        <item x="101"/>
        <item x="227"/>
        <item x="43"/>
        <item x="38"/>
        <item x="143"/>
        <item x="211"/>
        <item x="129"/>
        <item x="220"/>
        <item x="63"/>
        <item x="105"/>
        <item x="62"/>
        <item x="234"/>
        <item x="135"/>
        <item x="224"/>
        <item x="231"/>
        <item x="44"/>
        <item x="45"/>
        <item x="73"/>
        <item x="140"/>
        <item x="181"/>
        <item x="40"/>
        <item x="183"/>
        <item x="168"/>
        <item x="92"/>
        <item x="61"/>
        <item x="199"/>
        <item x="191"/>
        <item x="207"/>
        <item x="99"/>
        <item x="42"/>
        <item x="209"/>
        <item x="128"/>
        <item x="98"/>
        <item x="169"/>
        <item x="229"/>
        <item x="202"/>
        <item x="89"/>
        <item x="104"/>
        <item x="230"/>
        <item x="233"/>
        <item x="216"/>
        <item x="184"/>
        <item x="206"/>
        <item x="201"/>
        <item x="223"/>
        <item x="217"/>
        <item x="188"/>
        <item x="36"/>
        <item x="34"/>
        <item x="118"/>
        <item x="41"/>
        <item x="170"/>
        <item x="9"/>
        <item x="190"/>
        <item x="187"/>
        <item x="205"/>
        <item x="200"/>
        <item x="219"/>
        <item x="215"/>
        <item x="198"/>
        <item x="163"/>
        <item x="91"/>
        <item x="182"/>
        <item x="208"/>
        <item x="161"/>
        <item x="14"/>
        <item x="87"/>
        <item x="139"/>
        <item x="13"/>
        <item x="88"/>
        <item x="180"/>
        <item x="16"/>
        <item x="17"/>
        <item x="37"/>
        <item x="159"/>
        <item x="164"/>
        <item x="196"/>
        <item x="179"/>
        <item x="214"/>
        <item x="222"/>
        <item x="228"/>
        <item x="197"/>
        <item x="160"/>
        <item x="86"/>
        <item x="232"/>
        <item x="213"/>
        <item x="60"/>
        <item x="195"/>
        <item x="178"/>
        <item x="204"/>
        <item x="176"/>
        <item x="177"/>
        <item x="15"/>
        <item x="162"/>
        <item x="194"/>
        <item x="226"/>
        <item x="158"/>
        <item x="127"/>
        <item x="157"/>
        <item x="32"/>
        <item x="33"/>
        <item x="156"/>
        <item x="175"/>
        <item x="174"/>
        <item x="19"/>
        <item x="155"/>
        <item x="28"/>
        <item x="18"/>
        <item x="154"/>
        <item x="11"/>
        <item x="153"/>
        <item x="25"/>
        <item x="24"/>
        <item x="22"/>
        <item x="26"/>
        <item x="27"/>
        <item x="10"/>
        <item x="12"/>
        <item x="23"/>
        <item x="21"/>
        <item x="8"/>
        <item x="20"/>
        <item x="4"/>
        <item x="5"/>
        <item x="3"/>
        <item x="7"/>
        <item x="6"/>
        <item x="2"/>
        <item x="1"/>
        <item x="0"/>
      </items>
    </pivotField>
    <pivotField dataField="1" showAll="0" defaultSubtotal="0">
      <items count="574">
        <item x="87"/>
        <item x="259"/>
        <item x="51"/>
        <item x="137"/>
        <item x="230"/>
        <item x="113"/>
        <item x="208"/>
        <item x="124"/>
        <item x="266"/>
        <item x="315"/>
        <item x="84"/>
        <item x="45"/>
        <item x="65"/>
        <item x="28"/>
        <item x="172"/>
        <item x="268"/>
        <item x="54"/>
        <item x="367"/>
        <item x="9"/>
        <item x="29"/>
        <item x="126"/>
        <item x="292"/>
        <item x="37"/>
        <item x="14"/>
        <item x="52"/>
        <item x="13"/>
        <item x="67"/>
        <item x="16"/>
        <item x="337"/>
        <item x="56"/>
        <item x="96"/>
        <item x="70"/>
        <item x="33"/>
        <item x="111"/>
        <item x="220"/>
        <item x="356"/>
        <item x="153"/>
        <item x="36"/>
        <item x="194"/>
        <item x="165"/>
        <item x="285"/>
        <item x="129"/>
        <item x="49"/>
        <item x="15"/>
        <item x="116"/>
        <item x="191"/>
        <item x="204"/>
        <item x="218"/>
        <item x="128"/>
        <item x="443"/>
        <item x="237"/>
        <item x="343"/>
        <item x="316"/>
        <item x="178"/>
        <item x="74"/>
        <item x="66"/>
        <item x="55"/>
        <item x="232"/>
        <item x="196"/>
        <item x="271"/>
        <item x="61"/>
        <item x="215"/>
        <item x="157"/>
        <item x="86"/>
        <item x="344"/>
        <item x="34"/>
        <item x="32"/>
        <item x="225"/>
        <item x="533"/>
        <item x="53"/>
        <item x="171"/>
        <item x="85"/>
        <item x="431"/>
        <item x="308"/>
        <item x="221"/>
        <item x="325"/>
        <item x="381"/>
        <item x="18"/>
        <item x="68"/>
        <item x="246"/>
        <item x="144"/>
        <item x="501"/>
        <item x="398"/>
        <item x="100"/>
        <item x="264"/>
        <item x="551"/>
        <item x="563"/>
        <item x="239"/>
        <item x="525"/>
        <item x="368"/>
        <item x="388"/>
        <item x="258"/>
        <item x="497"/>
        <item x="483"/>
        <item x="369"/>
        <item x="162"/>
        <item x="158"/>
        <item x="17"/>
        <item x="35"/>
        <item x="174"/>
        <item x="435"/>
        <item x="11"/>
        <item x="396"/>
        <item x="389"/>
        <item x="131"/>
        <item x="534"/>
        <item x="95"/>
        <item x="417"/>
        <item x="468"/>
        <item x="333"/>
        <item x="132"/>
        <item x="249"/>
        <item x="459"/>
        <item x="155"/>
        <item x="213"/>
        <item x="566"/>
        <item x="552"/>
        <item x="467"/>
        <item x="99"/>
        <item x="475"/>
        <item x="452"/>
        <item x="81"/>
        <item x="72"/>
        <item x="102"/>
        <item x="382"/>
        <item x="424"/>
        <item x="265"/>
        <item x="438"/>
        <item x="253"/>
        <item x="358"/>
        <item x="293"/>
        <item x="326"/>
        <item x="423"/>
        <item x="334"/>
        <item x="558"/>
        <item x="541"/>
        <item x="394"/>
        <item x="474"/>
        <item x="517"/>
        <item x="335"/>
        <item x="397"/>
        <item x="294"/>
        <item x="376"/>
        <item x="430"/>
        <item x="456"/>
        <item x="248"/>
        <item x="395"/>
        <item x="159"/>
        <item x="570"/>
        <item x="416"/>
        <item x="484"/>
        <item x="415"/>
        <item x="453"/>
        <item x="429"/>
        <item x="375"/>
        <item x="421"/>
        <item x="192"/>
        <item x="274"/>
        <item x="521"/>
        <item x="295"/>
        <item x="133"/>
        <item x="324"/>
        <item x="359"/>
        <item x="10"/>
        <item x="539"/>
        <item x="12"/>
        <item x="535"/>
        <item x="193"/>
        <item x="217"/>
        <item x="170"/>
        <item x="112"/>
        <item x="250"/>
        <item x="444"/>
        <item x="347"/>
        <item x="365"/>
        <item x="30"/>
        <item x="547"/>
        <item x="231"/>
        <item x="366"/>
        <item x="31"/>
        <item x="568"/>
        <item x="411"/>
        <item x="564"/>
        <item x="241"/>
        <item x="492"/>
        <item x="451"/>
        <item x="151"/>
        <item x="255"/>
        <item x="450"/>
        <item x="261"/>
        <item x="422"/>
        <item x="341"/>
        <item x="181"/>
        <item x="532"/>
        <item x="80"/>
        <item x="331"/>
        <item x="115"/>
        <item x="516"/>
        <item x="272"/>
        <item x="573"/>
        <item x="101"/>
        <item x="168"/>
        <item x="125"/>
        <item x="283"/>
        <item x="205"/>
        <item x="455"/>
        <item x="303"/>
        <item x="494"/>
        <item x="412"/>
        <item x="436"/>
        <item x="190"/>
        <item x="50"/>
        <item x="302"/>
        <item x="71"/>
        <item x="403"/>
        <item x="520"/>
        <item x="393"/>
        <item x="470"/>
        <item x="313"/>
        <item x="212"/>
        <item x="195"/>
        <item x="290"/>
        <item x="114"/>
        <item x="530"/>
        <item x="130"/>
        <item x="8"/>
        <item x="263"/>
        <item x="156"/>
        <item x="508"/>
        <item x="127"/>
        <item x="143"/>
        <item x="409"/>
        <item x="281"/>
        <item x="149"/>
        <item x="122"/>
        <item x="27"/>
        <item x="505"/>
        <item x="355"/>
        <item x="180"/>
        <item x="109"/>
        <item x="214"/>
        <item x="300"/>
        <item x="252"/>
        <item x="142"/>
        <item x="69"/>
        <item x="309"/>
        <item x="164"/>
        <item x="270"/>
        <item x="60"/>
        <item x="167"/>
        <item x="531"/>
        <item x="47"/>
        <item x="251"/>
        <item x="62"/>
        <item x="348"/>
        <item x="240"/>
        <item x="437"/>
        <item x="458"/>
        <item x="154"/>
        <item x="299"/>
        <item x="553"/>
        <item x="330"/>
        <item x="392"/>
        <item x="173"/>
        <item x="228"/>
        <item x="152"/>
        <item x="561"/>
        <item x="442"/>
        <item x="92"/>
        <item x="282"/>
        <item x="569"/>
        <item x="75"/>
        <item x="254"/>
        <item x="332"/>
        <item x="511"/>
        <item x="312"/>
        <item x="345"/>
        <item x="357"/>
        <item x="500"/>
        <item x="83"/>
        <item x="323"/>
        <item x="229"/>
        <item x="488"/>
        <item x="482"/>
        <item x="189"/>
        <item x="562"/>
        <item x="110"/>
        <item x="515"/>
        <item x="238"/>
        <item x="543"/>
        <item x="48"/>
        <item x="387"/>
        <item x="354"/>
        <item x="434"/>
        <item x="487"/>
        <item x="108"/>
        <item x="169"/>
        <item x="540"/>
        <item x="346"/>
        <item x="311"/>
        <item x="471"/>
        <item x="97"/>
        <item x="44"/>
        <item x="478"/>
        <item x="262"/>
        <item x="472"/>
        <item x="364"/>
        <item x="526"/>
        <item x="46"/>
        <item x="466"/>
        <item x="284"/>
        <item x="219"/>
        <item x="352"/>
        <item x="179"/>
        <item x="166"/>
        <item x="64"/>
        <item x="473"/>
        <item x="4"/>
        <item x="24"/>
        <item x="448"/>
        <item x="182"/>
        <item x="493"/>
        <item x="428"/>
        <item x="78"/>
        <item x="499"/>
        <item x="449"/>
        <item x="380"/>
        <item x="227"/>
        <item x="291"/>
        <item x="457"/>
        <item x="63"/>
        <item x="273"/>
        <item x="374"/>
        <item x="150"/>
        <item x="280"/>
        <item x="163"/>
        <item x="138"/>
        <item x="202"/>
        <item x="372"/>
        <item x="314"/>
        <item x="410"/>
        <item x="510"/>
        <item x="121"/>
        <item x="427"/>
        <item x="301"/>
        <item x="5"/>
        <item x="340"/>
        <item x="321"/>
        <item x="440"/>
        <item x="216"/>
        <item x="3"/>
        <item x="123"/>
        <item x="465"/>
        <item x="243"/>
        <item x="310"/>
        <item x="522"/>
        <item x="94"/>
        <item x="408"/>
        <item x="185"/>
        <item x="320"/>
        <item x="209"/>
        <item x="98"/>
        <item x="177"/>
        <item x="7"/>
        <item x="141"/>
        <item x="200"/>
        <item x="464"/>
        <item x="481"/>
        <item x="373"/>
        <item x="23"/>
        <item x="386"/>
        <item x="6"/>
        <item x="391"/>
        <item x="405"/>
        <item x="21"/>
        <item x="203"/>
        <item x="407"/>
        <item x="542"/>
        <item x="187"/>
        <item x="140"/>
        <item x="441"/>
        <item x="560"/>
        <item x="201"/>
        <item x="25"/>
        <item x="567"/>
        <item x="77"/>
        <item x="236"/>
        <item x="139"/>
        <item x="420"/>
        <item x="322"/>
        <item x="402"/>
        <item x="26"/>
        <item x="41"/>
        <item x="414"/>
        <item x="480"/>
        <item x="247"/>
        <item x="279"/>
        <item x="82"/>
        <item x="479"/>
        <item x="211"/>
        <item x="498"/>
        <item x="509"/>
        <item x="486"/>
        <item x="504"/>
        <item x="371"/>
        <item x="226"/>
        <item x="278"/>
        <item x="186"/>
        <item x="148"/>
        <item x="353"/>
        <item x="289"/>
        <item x="79"/>
        <item x="107"/>
        <item x="91"/>
        <item x="188"/>
        <item x="119"/>
        <item x="351"/>
        <item x="379"/>
        <item x="363"/>
        <item x="538"/>
        <item x="59"/>
        <item x="342"/>
        <item x="307"/>
        <item x="105"/>
        <item x="362"/>
        <item x="491"/>
        <item x="22"/>
        <item x="120"/>
        <item x="210"/>
        <item x="2"/>
        <item x="419"/>
        <item x="42"/>
        <item x="523"/>
        <item x="147"/>
        <item x="43"/>
        <item x="244"/>
        <item x="199"/>
        <item x="176"/>
        <item x="514"/>
        <item x="557"/>
        <item x="385"/>
        <item x="463"/>
        <item x="245"/>
        <item x="433"/>
        <item x="298"/>
        <item x="447"/>
        <item x="38"/>
        <item x="306"/>
        <item x="269"/>
        <item x="507"/>
        <item x="401"/>
        <item x="319"/>
        <item x="439"/>
        <item x="550"/>
        <item x="207"/>
        <item x="106"/>
        <item x="288"/>
        <item x="235"/>
        <item x="406"/>
        <item x="519"/>
        <item x="529"/>
        <item x="565"/>
        <item x="339"/>
        <item x="224"/>
        <item x="76"/>
        <item x="378"/>
        <item x="161"/>
        <item x="58"/>
        <item x="305"/>
        <item x="555"/>
        <item x="40"/>
        <item x="277"/>
        <item x="296"/>
        <item x="350"/>
        <item x="559"/>
        <item x="549"/>
        <item x="571"/>
        <item x="400"/>
        <item x="223"/>
        <item x="528"/>
        <item x="390"/>
        <item x="496"/>
        <item x="297"/>
        <item x="234"/>
        <item x="304"/>
        <item x="93"/>
        <item x="370"/>
        <item x="546"/>
        <item x="556"/>
        <item x="461"/>
        <item x="1"/>
        <item x="318"/>
        <item x="490"/>
        <item x="377"/>
        <item x="20"/>
        <item x="503"/>
        <item x="426"/>
        <item x="462"/>
        <item x="328"/>
        <item x="257"/>
        <item x="545"/>
        <item x="329"/>
        <item x="361"/>
        <item x="338"/>
        <item x="89"/>
        <item x="384"/>
        <item x="136"/>
        <item x="548"/>
        <item x="260"/>
        <item x="276"/>
        <item x="135"/>
        <item x="118"/>
        <item x="134"/>
        <item x="477"/>
        <item x="104"/>
        <item x="90"/>
        <item x="502"/>
        <item x="197"/>
        <item x="39"/>
        <item x="184"/>
        <item x="432"/>
        <item x="198"/>
        <item x="103"/>
        <item x="554"/>
        <item x="445"/>
        <item x="206"/>
        <item x="360"/>
        <item x="418"/>
        <item x="446"/>
        <item x="242"/>
        <item x="572"/>
        <item x="336"/>
        <item x="146"/>
        <item x="267"/>
        <item x="19"/>
        <item x="524"/>
        <item x="275"/>
        <item x="404"/>
        <item x="327"/>
        <item x="286"/>
        <item x="413"/>
        <item x="256"/>
        <item x="233"/>
        <item x="0"/>
        <item x="175"/>
        <item x="349"/>
        <item x="88"/>
        <item x="222"/>
        <item x="287"/>
        <item x="73"/>
        <item x="117"/>
        <item x="537"/>
        <item x="476"/>
        <item x="399"/>
        <item x="513"/>
        <item x="383"/>
        <item x="425"/>
        <item x="317"/>
        <item x="506"/>
        <item x="460"/>
        <item x="485"/>
        <item x="183"/>
        <item x="145"/>
        <item x="454"/>
        <item x="57"/>
        <item x="518"/>
        <item x="160"/>
        <item x="512"/>
        <item x="489"/>
        <item x="495"/>
        <item x="536"/>
        <item x="527"/>
        <item x="544"/>
        <item x="469"/>
      </items>
    </pivotField>
    <pivotField dataField="1" showAll="0" defaultSubtotal="0">
      <items count="181">
        <item x="130"/>
        <item x="131"/>
        <item x="126"/>
        <item x="71"/>
        <item x="45"/>
        <item x="68"/>
        <item x="81"/>
        <item x="100"/>
        <item x="106"/>
        <item x="113"/>
        <item x="107"/>
        <item x="111"/>
        <item x="63"/>
        <item x="77"/>
        <item x="101"/>
        <item x="44"/>
        <item x="61"/>
        <item x="108"/>
        <item x="41"/>
        <item x="109"/>
        <item x="64"/>
        <item x="105"/>
        <item x="129"/>
        <item x="112"/>
        <item x="110"/>
        <item x="102"/>
        <item x="48"/>
        <item x="72"/>
        <item x="82"/>
        <item x="42"/>
        <item x="116"/>
        <item x="117"/>
        <item x="115"/>
        <item x="51"/>
        <item x="98"/>
        <item x="60"/>
        <item x="83"/>
        <item x="49"/>
        <item x="59"/>
        <item x="43"/>
        <item x="57"/>
        <item x="99"/>
        <item x="46"/>
        <item x="84"/>
        <item x="73"/>
        <item x="55"/>
        <item x="79"/>
        <item x="104"/>
        <item x="62"/>
        <item x="67"/>
        <item x="91"/>
        <item x="85"/>
        <item x="70"/>
        <item x="124"/>
        <item x="56"/>
        <item x="69"/>
        <item x="103"/>
        <item x="80"/>
        <item x="160"/>
        <item x="54"/>
        <item x="123"/>
        <item x="120"/>
        <item x="96"/>
        <item x="53"/>
        <item x="132"/>
        <item x="65"/>
        <item x="87"/>
        <item x="161"/>
        <item x="172"/>
        <item x="66"/>
        <item x="78"/>
        <item x="154"/>
        <item x="75"/>
        <item x="128"/>
        <item x="163"/>
        <item x="114"/>
        <item x="175"/>
        <item x="125"/>
        <item x="127"/>
        <item x="97"/>
        <item x="171"/>
        <item x="180"/>
        <item x="162"/>
        <item x="52"/>
        <item x="155"/>
        <item x="50"/>
        <item x="76"/>
        <item x="134"/>
        <item x="137"/>
        <item x="94"/>
        <item x="173"/>
        <item x="122"/>
        <item x="135"/>
        <item x="58"/>
        <item x="177"/>
        <item x="152"/>
        <item x="159"/>
        <item x="174"/>
        <item x="178"/>
        <item x="158"/>
        <item x="40"/>
        <item x="141"/>
        <item x="95"/>
        <item x="176"/>
        <item x="157"/>
        <item x="47"/>
        <item x="88"/>
        <item x="121"/>
        <item x="74"/>
        <item x="179"/>
        <item x="153"/>
        <item x="133"/>
        <item x="156"/>
        <item x="89"/>
        <item x="86"/>
        <item x="92"/>
        <item x="143"/>
        <item x="170"/>
        <item x="27"/>
        <item x="90"/>
        <item x="93"/>
        <item x="119"/>
        <item x="169"/>
        <item x="139"/>
        <item x="166"/>
        <item x="168"/>
        <item x="26"/>
        <item x="165"/>
        <item x="138"/>
        <item x="167"/>
        <item x="118"/>
        <item x="164"/>
        <item x="151"/>
        <item x="149"/>
        <item x="144"/>
        <item x="150"/>
        <item x="142"/>
        <item x="23"/>
        <item x="148"/>
        <item x="7"/>
        <item x="24"/>
        <item x="147"/>
        <item x="146"/>
        <item x="145"/>
        <item x="6"/>
        <item x="33"/>
        <item x="25"/>
        <item x="22"/>
        <item x="32"/>
        <item x="21"/>
        <item x="140"/>
        <item x="2"/>
        <item x="37"/>
        <item x="136"/>
        <item x="36"/>
        <item x="5"/>
        <item x="28"/>
        <item x="38"/>
        <item x="39"/>
        <item x="34"/>
        <item x="35"/>
        <item x="31"/>
        <item x="30"/>
        <item x="4"/>
        <item x="3"/>
        <item x="12"/>
        <item x="18"/>
        <item x="29"/>
        <item x="10"/>
        <item x="1"/>
        <item x="20"/>
        <item x="19"/>
        <item x="8"/>
        <item x="11"/>
        <item x="17"/>
        <item x="16"/>
        <item x="15"/>
        <item x="14"/>
        <item x="13"/>
        <item x="0"/>
        <item x="9"/>
      </items>
    </pivotField>
    <pivotField dataField="1" showAll="0" defaultSubtotal="0">
      <items count="396">
        <item x="207"/>
        <item x="303"/>
        <item x="254"/>
        <item x="84"/>
        <item x="215"/>
        <item x="172"/>
        <item x="63"/>
        <item x="235"/>
        <item x="39"/>
        <item x="154"/>
        <item x="183"/>
        <item x="62"/>
        <item x="248"/>
        <item x="384"/>
        <item x="131"/>
        <item x="283"/>
        <item x="118"/>
        <item x="72"/>
        <item x="236"/>
        <item x="311"/>
        <item x="362"/>
        <item x="127"/>
        <item x="7"/>
        <item x="349"/>
        <item x="294"/>
        <item x="151"/>
        <item x="227"/>
        <item x="252"/>
        <item x="98"/>
        <item x="25"/>
        <item x="199"/>
        <item x="165"/>
        <item x="244"/>
        <item x="239"/>
        <item x="233"/>
        <item x="327"/>
        <item x="6"/>
        <item x="57"/>
        <item x="286"/>
        <item x="24"/>
        <item x="170"/>
        <item x="38"/>
        <item x="108"/>
        <item x="312"/>
        <item x="133"/>
        <item x="146"/>
        <item x="178"/>
        <item x="69"/>
        <item x="335"/>
        <item x="274"/>
        <item x="296"/>
        <item x="35"/>
        <item x="2"/>
        <item x="54"/>
        <item x="209"/>
        <item x="103"/>
        <item x="220"/>
        <item x="22"/>
        <item x="226"/>
        <item x="122"/>
        <item x="264"/>
        <item x="120"/>
        <item x="191"/>
        <item x="341"/>
        <item x="363"/>
        <item x="281"/>
        <item x="100"/>
        <item x="92"/>
        <item x="5"/>
        <item x="171"/>
        <item x="95"/>
        <item x="142"/>
        <item x="97"/>
        <item x="161"/>
        <item x="126"/>
        <item x="291"/>
        <item x="277"/>
        <item x="148"/>
        <item x="138"/>
        <item x="42"/>
        <item x="307"/>
        <item x="125"/>
        <item x="324"/>
        <item x="353"/>
        <item x="134"/>
        <item x="214"/>
        <item x="292"/>
        <item x="343"/>
        <item x="36"/>
        <item x="88"/>
        <item x="242"/>
        <item x="340"/>
        <item x="193"/>
        <item x="338"/>
        <item x="64"/>
        <item x="251"/>
        <item x="201"/>
        <item x="295"/>
        <item x="112"/>
        <item x="273"/>
        <item x="45"/>
        <item x="365"/>
        <item x="320"/>
        <item x="262"/>
        <item x="282"/>
        <item x="4"/>
        <item x="67"/>
        <item x="79"/>
        <item x="144"/>
        <item x="266"/>
        <item x="73"/>
        <item x="113"/>
        <item x="318"/>
        <item x="258"/>
        <item x="43"/>
        <item x="23"/>
        <item x="141"/>
        <item x="3"/>
        <item x="119"/>
        <item x="152"/>
        <item x="229"/>
        <item x="37"/>
        <item x="12"/>
        <item x="205"/>
        <item x="51"/>
        <item x="53"/>
        <item x="300"/>
        <item x="228"/>
        <item x="177"/>
        <item x="18"/>
        <item x="231"/>
        <item x="40"/>
        <item x="21"/>
        <item x="93"/>
        <item x="124"/>
        <item x="267"/>
        <item x="245"/>
        <item x="10"/>
        <item x="1"/>
        <item x="181"/>
        <item x="348"/>
        <item x="32"/>
        <item x="49"/>
        <item x="81"/>
        <item x="19"/>
        <item x="56"/>
        <item x="76"/>
        <item x="287"/>
        <item x="149"/>
        <item x="164"/>
        <item x="140"/>
        <item x="185"/>
        <item x="260"/>
        <item x="155"/>
        <item x="270"/>
        <item x="75"/>
        <item x="195"/>
        <item x="111"/>
        <item x="77"/>
        <item x="329"/>
        <item x="156"/>
        <item x="259"/>
        <item x="78"/>
        <item x="137"/>
        <item x="121"/>
        <item x="351"/>
        <item x="261"/>
        <item x="31"/>
        <item x="221"/>
        <item x="166"/>
        <item x="285"/>
        <item x="249"/>
        <item x="50"/>
        <item x="94"/>
        <item x="388"/>
        <item x="237"/>
        <item x="55"/>
        <item x="313"/>
        <item x="26"/>
        <item x="8"/>
        <item x="61"/>
        <item x="91"/>
        <item x="33"/>
        <item x="153"/>
        <item x="74"/>
        <item x="323"/>
        <item x="216"/>
        <item x="189"/>
        <item x="48"/>
        <item x="139"/>
        <item x="241"/>
        <item x="11"/>
        <item x="30"/>
        <item x="106"/>
        <item x="174"/>
        <item x="135"/>
        <item x="310"/>
        <item x="89"/>
        <item x="159"/>
        <item x="169"/>
        <item x="116"/>
        <item x="47"/>
        <item x="17"/>
        <item x="203"/>
        <item x="240"/>
        <item x="168"/>
        <item x="321"/>
        <item x="188"/>
        <item x="16"/>
        <item x="219"/>
        <item x="15"/>
        <item x="180"/>
        <item x="299"/>
        <item x="255"/>
        <item x="99"/>
        <item x="129"/>
        <item x="305"/>
        <item x="196"/>
        <item x="187"/>
        <item x="109"/>
        <item x="394"/>
        <item x="179"/>
        <item x="278"/>
        <item x="130"/>
        <item x="223"/>
        <item x="198"/>
        <item x="212"/>
        <item x="306"/>
        <item x="269"/>
        <item x="279"/>
        <item x="330"/>
        <item x="105"/>
        <item x="115"/>
        <item x="197"/>
        <item x="391"/>
        <item x="71"/>
        <item x="222"/>
        <item x="336"/>
        <item x="90"/>
        <item x="316"/>
        <item x="59"/>
        <item x="308"/>
        <item x="104"/>
        <item x="290"/>
        <item x="14"/>
        <item x="344"/>
        <item x="117"/>
        <item x="13"/>
        <item x="82"/>
        <item x="276"/>
        <item x="297"/>
        <item x="29"/>
        <item x="202"/>
        <item x="314"/>
        <item x="333"/>
        <item x="28"/>
        <item x="60"/>
        <item x="315"/>
        <item x="186"/>
        <item x="160"/>
        <item x="234"/>
        <item x="289"/>
        <item x="163"/>
        <item x="288"/>
        <item x="309"/>
        <item x="298"/>
        <item x="46"/>
        <item x="346"/>
        <item x="162"/>
        <item x="114"/>
        <item x="322"/>
        <item x="247"/>
        <item x="378"/>
        <item x="326"/>
        <item x="347"/>
        <item x="147"/>
        <item x="44"/>
        <item x="150"/>
        <item x="83"/>
        <item x="128"/>
        <item x="284"/>
        <item x="80"/>
        <item x="132"/>
        <item x="211"/>
        <item x="102"/>
        <item x="70"/>
        <item x="184"/>
        <item x="275"/>
        <item x="101"/>
        <item x="331"/>
        <item x="224"/>
        <item x="66"/>
        <item x="377"/>
        <item x="359"/>
        <item x="86"/>
        <item x="208"/>
        <item x="304"/>
        <item x="136"/>
        <item x="58"/>
        <item x="301"/>
        <item x="194"/>
        <item x="213"/>
        <item x="107"/>
        <item x="225"/>
        <item x="364"/>
        <item x="0"/>
        <item x="157"/>
        <item x="9"/>
        <item x="332"/>
        <item x="325"/>
        <item x="175"/>
        <item x="374"/>
        <item x="27"/>
        <item x="246"/>
        <item x="317"/>
        <item x="206"/>
        <item x="85"/>
        <item x="176"/>
        <item x="96"/>
        <item x="87"/>
        <item x="34"/>
        <item x="20"/>
        <item x="350"/>
        <item x="302"/>
        <item x="238"/>
        <item x="190"/>
        <item x="52"/>
        <item x="268"/>
        <item x="328"/>
        <item x="390"/>
        <item x="210"/>
        <item x="367"/>
        <item x="41"/>
        <item x="360"/>
        <item x="68"/>
        <item x="280"/>
        <item x="110"/>
        <item x="371"/>
        <item x="334"/>
        <item x="293"/>
        <item x="342"/>
        <item x="253"/>
        <item x="339"/>
        <item x="192"/>
        <item x="145"/>
        <item x="232"/>
        <item x="372"/>
        <item x="356"/>
        <item x="345"/>
        <item x="182"/>
        <item x="250"/>
        <item x="358"/>
        <item x="167"/>
        <item x="319"/>
        <item x="389"/>
        <item x="243"/>
        <item x="173"/>
        <item x="271"/>
        <item x="392"/>
        <item x="230"/>
        <item x="369"/>
        <item x="366"/>
        <item x="387"/>
        <item x="368"/>
        <item x="393"/>
        <item x="158"/>
        <item x="357"/>
        <item x="382"/>
        <item x="204"/>
        <item x="355"/>
        <item x="352"/>
        <item x="65"/>
        <item x="143"/>
        <item x="375"/>
        <item x="200"/>
        <item x="361"/>
        <item x="257"/>
        <item x="123"/>
        <item x="370"/>
        <item x="217"/>
        <item x="256"/>
        <item x="272"/>
        <item x="373"/>
        <item x="218"/>
        <item x="265"/>
        <item x="381"/>
        <item x="263"/>
        <item x="337"/>
        <item x="386"/>
        <item x="395"/>
        <item x="383"/>
        <item x="354"/>
        <item x="379"/>
        <item x="385"/>
        <item x="376"/>
        <item x="380"/>
      </items>
    </pivotField>
    <pivotField dataField="1" showAll="0" defaultSubtotal="0">
      <items count="10">
        <item x="2"/>
        <item x="1"/>
        <item x="0"/>
        <item x="9"/>
        <item x="5"/>
        <item x="7"/>
        <item x="8"/>
        <item x="3"/>
        <item x="6"/>
        <item x="4"/>
      </items>
    </pivotField>
    <pivotField showAll="0" defaultSubtotal="0">
      <items count="28">
        <item x="2"/>
        <item x="1"/>
        <item x="0"/>
        <item x="6"/>
        <item x="5"/>
        <item x="8"/>
        <item x="12"/>
        <item x="3"/>
        <item x="20"/>
        <item x="23"/>
        <item x="10"/>
        <item x="18"/>
        <item x="4"/>
        <item x="25"/>
        <item x="9"/>
        <item x="24"/>
        <item x="7"/>
        <item x="22"/>
        <item x="27"/>
        <item x="21"/>
        <item x="15"/>
        <item x="19"/>
        <item x="13"/>
        <item x="16"/>
        <item x="11"/>
        <item x="26"/>
        <item x="17"/>
        <item x="14"/>
      </items>
    </pivotField>
  </pivotFields>
  <rowFields count="3">
    <field x="5"/>
    <field x="10"/>
    <field x="9"/>
  </rowFields>
  <rowItems count="1405">
    <i>
      <x/>
    </i>
    <i r="1">
      <x/>
      <x v="44"/>
    </i>
    <i r="1">
      <x v="1"/>
      <x v="64"/>
    </i>
    <i r="1">
      <x v="2"/>
      <x v="58"/>
    </i>
    <i r="1">
      <x v="3"/>
      <x v="55"/>
    </i>
    <i r="1">
      <x v="4"/>
      <x v="67"/>
    </i>
    <i r="1">
      <x v="5"/>
      <x v="69"/>
    </i>
    <i r="1">
      <x v="6"/>
      <x v="63"/>
    </i>
    <i r="1">
      <x v="7"/>
      <x v="59"/>
    </i>
    <i r="1">
      <x v="8"/>
      <x v="40"/>
    </i>
    <i r="1">
      <x v="9"/>
      <x v="46"/>
    </i>
    <i r="1">
      <x v="10"/>
      <x v="34"/>
    </i>
    <i r="1">
      <x v="11"/>
      <x v="43"/>
    </i>
    <i r="1">
      <x v="12"/>
      <x v="62"/>
    </i>
    <i r="1">
      <x v="13"/>
      <x v="11"/>
    </i>
    <i r="1">
      <x v="14"/>
      <x v="42"/>
    </i>
    <i r="1">
      <x v="15"/>
      <x v="10"/>
    </i>
    <i r="1">
      <x v="16"/>
      <x v="1"/>
    </i>
    <i r="1">
      <x v="17"/>
      <x v="2"/>
    </i>
    <i r="1">
      <x v="18"/>
      <x v="27"/>
    </i>
    <i r="1">
      <x v="19"/>
      <x v="35"/>
    </i>
    <i t="blank">
      <x/>
    </i>
    <i>
      <x v="1"/>
    </i>
    <i r="1">
      <x/>
      <x v="44"/>
    </i>
    <i r="1">
      <x v="1"/>
      <x v="64"/>
    </i>
    <i r="1">
      <x v="2"/>
      <x v="55"/>
    </i>
    <i r="1">
      <x v="3"/>
      <x v="58"/>
    </i>
    <i r="1">
      <x v="4"/>
      <x v="69"/>
    </i>
    <i r="1">
      <x v="5"/>
      <x v="67"/>
    </i>
    <i r="1">
      <x v="6"/>
      <x v="63"/>
    </i>
    <i r="1">
      <x v="7"/>
      <x v="59"/>
    </i>
    <i r="1">
      <x v="8"/>
      <x v="40"/>
    </i>
    <i r="1">
      <x v="9"/>
      <x v="46"/>
    </i>
    <i r="1">
      <x v="10"/>
      <x v="42"/>
    </i>
    <i r="1">
      <x v="11"/>
      <x v="11"/>
    </i>
    <i r="1">
      <x v="12"/>
      <x v="34"/>
    </i>
    <i r="1">
      <x v="13"/>
      <x v="62"/>
    </i>
    <i r="1">
      <x v="14"/>
      <x v="43"/>
    </i>
    <i r="1">
      <x v="15"/>
      <x v="4"/>
    </i>
    <i r="1">
      <x v="16"/>
      <x v="51"/>
    </i>
    <i r="1">
      <x v="17"/>
      <x v="27"/>
    </i>
    <i r="1">
      <x v="18"/>
      <x v="10"/>
    </i>
    <i r="1">
      <x v="19"/>
      <x v="2"/>
    </i>
    <i t="blank">
      <x v="1"/>
    </i>
    <i>
      <x v="2"/>
    </i>
    <i r="1">
      <x/>
      <x v="44"/>
    </i>
    <i r="1">
      <x v="1"/>
      <x v="58"/>
    </i>
    <i r="1">
      <x v="2"/>
      <x v="64"/>
    </i>
    <i r="1">
      <x v="3"/>
      <x v="55"/>
    </i>
    <i r="1">
      <x v="4"/>
      <x v="63"/>
    </i>
    <i r="1">
      <x v="5"/>
      <x v="59"/>
    </i>
    <i r="1">
      <x v="6"/>
      <x v="40"/>
    </i>
    <i r="1">
      <x v="7"/>
      <x v="11"/>
    </i>
    <i r="1">
      <x v="8"/>
      <x v="67"/>
    </i>
    <i r="1">
      <x v="9"/>
      <x v="34"/>
    </i>
    <i r="1">
      <x v="10"/>
      <x v="69"/>
    </i>
    <i r="1">
      <x v="11"/>
      <x v="10"/>
    </i>
    <i r="1">
      <x v="12"/>
      <x v="62"/>
    </i>
    <i r="1">
      <x v="13"/>
      <x v="46"/>
    </i>
    <i r="1">
      <x v="14"/>
      <x v="42"/>
    </i>
    <i r="1">
      <x v="15"/>
      <x v="2"/>
    </i>
    <i r="1">
      <x v="16"/>
      <x v="38"/>
    </i>
    <i r="1">
      <x v="17"/>
      <x v="1"/>
    </i>
    <i r="1">
      <x v="18"/>
      <x v="7"/>
    </i>
    <i r="1">
      <x v="19"/>
      <x v="43"/>
    </i>
    <i t="blank">
      <x v="2"/>
    </i>
    <i>
      <x v="3"/>
    </i>
    <i r="1">
      <x/>
      <x v="44"/>
    </i>
    <i r="1">
      <x v="1"/>
      <x v="64"/>
    </i>
    <i r="1">
      <x v="2"/>
      <x v="55"/>
    </i>
    <i r="1">
      <x v="3"/>
      <x v="58"/>
    </i>
    <i r="1">
      <x v="4"/>
      <x v="40"/>
    </i>
    <i r="1">
      <x v="5"/>
      <x v="42"/>
    </i>
    <i r="1">
      <x v="6"/>
      <x v="67"/>
    </i>
    <i r="1">
      <x v="7"/>
      <x v="63"/>
    </i>
    <i r="1">
      <x v="8"/>
      <x v="69"/>
    </i>
    <i r="1">
      <x v="9"/>
      <x v="59"/>
    </i>
    <i r="1">
      <x v="10"/>
      <x v="11"/>
    </i>
    <i r="1">
      <x v="11"/>
      <x v="51"/>
    </i>
    <i r="1">
      <x v="12"/>
      <x v="46"/>
    </i>
    <i r="1">
      <x v="13"/>
      <x v="34"/>
    </i>
    <i r="1">
      <x v="14"/>
      <x v="43"/>
    </i>
    <i r="2">
      <x v="68"/>
    </i>
    <i r="1">
      <x v="16"/>
      <x v="10"/>
    </i>
    <i r="1">
      <x v="17"/>
      <x v="4"/>
    </i>
    <i r="1">
      <x v="18"/>
      <x v="48"/>
    </i>
    <i r="1">
      <x v="19"/>
      <x v="62"/>
    </i>
    <i t="blank">
      <x v="3"/>
    </i>
    <i>
      <x v="4"/>
    </i>
    <i r="1">
      <x/>
      <x v="44"/>
    </i>
    <i r="1">
      <x v="1"/>
      <x v="27"/>
    </i>
    <i r="1">
      <x v="2"/>
      <x v="40"/>
    </i>
    <i r="1">
      <x v="3"/>
      <x v="64"/>
    </i>
    <i r="1">
      <x v="4"/>
      <x v="28"/>
    </i>
    <i r="1">
      <x v="5"/>
      <x v="55"/>
    </i>
    <i r="1">
      <x v="6"/>
      <x v="58"/>
    </i>
    <i r="1">
      <x v="7"/>
      <x v="69"/>
    </i>
    <i r="1">
      <x v="8"/>
      <x v="42"/>
    </i>
    <i r="1">
      <x v="9"/>
      <x v="34"/>
    </i>
    <i r="2">
      <x v="43"/>
    </i>
    <i r="2">
      <x v="59"/>
    </i>
    <i r="1">
      <x v="12"/>
      <x v="48"/>
    </i>
    <i r="2">
      <x v="67"/>
    </i>
    <i r="1">
      <x v="14"/>
      <x v="63"/>
    </i>
    <i r="1">
      <x v="15"/>
      <x v="46"/>
    </i>
    <i r="2">
      <x v="51"/>
    </i>
    <i r="1">
      <x v="17"/>
      <x v="33"/>
    </i>
    <i r="1">
      <x v="18"/>
      <x v="22"/>
    </i>
    <i r="2">
      <x v="38"/>
    </i>
    <i r="2">
      <x v="74"/>
    </i>
    <i t="blank">
      <x v="4"/>
    </i>
    <i>
      <x v="5"/>
    </i>
    <i r="1">
      <x/>
      <x v="59"/>
    </i>
    <i r="1">
      <x v="1"/>
      <x v="55"/>
    </i>
    <i r="1">
      <x v="2"/>
      <x v="58"/>
    </i>
    <i r="1">
      <x v="3"/>
      <x v="44"/>
    </i>
    <i r="1">
      <x v="4"/>
      <x v="40"/>
    </i>
    <i r="1">
      <x v="5"/>
      <x v="47"/>
    </i>
    <i r="1">
      <x v="6"/>
      <x v="43"/>
    </i>
    <i r="1">
      <x v="7"/>
      <x v="64"/>
    </i>
    <i r="1">
      <x v="8"/>
      <x v="51"/>
    </i>
    <i r="1">
      <x v="9"/>
      <x v="42"/>
    </i>
    <i r="1">
      <x v="10"/>
      <x v="69"/>
    </i>
    <i r="1">
      <x v="11"/>
      <x v="48"/>
    </i>
    <i r="1">
      <x v="12"/>
      <x v="27"/>
    </i>
    <i r="1">
      <x v="13"/>
      <x v="46"/>
    </i>
    <i r="1">
      <x v="14"/>
      <x v="28"/>
    </i>
    <i r="1">
      <x v="15"/>
      <x v="60"/>
    </i>
    <i r="1">
      <x v="16"/>
      <x v="34"/>
    </i>
    <i r="1">
      <x v="17"/>
      <x v="50"/>
    </i>
    <i r="1">
      <x v="18"/>
      <x v="74"/>
    </i>
    <i r="1">
      <x v="19"/>
      <x v="67"/>
    </i>
    <i t="blank">
      <x v="5"/>
    </i>
    <i>
      <x v="6"/>
    </i>
    <i r="1">
      <x/>
      <x v="44"/>
    </i>
    <i r="1">
      <x v="1"/>
      <x v="64"/>
    </i>
    <i r="1">
      <x v="2"/>
      <x v="55"/>
    </i>
    <i r="1">
      <x v="3"/>
      <x v="58"/>
    </i>
    <i r="1">
      <x v="4"/>
      <x v="59"/>
    </i>
    <i r="1">
      <x v="5"/>
      <x v="40"/>
    </i>
    <i r="2">
      <x v="63"/>
    </i>
    <i r="1">
      <x v="7"/>
      <x v="34"/>
    </i>
    <i r="1">
      <x v="8"/>
      <x v="69"/>
    </i>
    <i r="1">
      <x v="9"/>
      <x v="42"/>
    </i>
    <i r="1">
      <x v="10"/>
      <x v="14"/>
    </i>
    <i r="1">
      <x v="11"/>
      <x v="62"/>
    </i>
    <i r="1">
      <x v="12"/>
      <x v="11"/>
    </i>
    <i r="2">
      <x v="67"/>
    </i>
    <i r="1">
      <x v="14"/>
      <x v="45"/>
    </i>
    <i r="1">
      <x v="15"/>
      <x v="46"/>
    </i>
    <i r="1">
      <x v="16"/>
      <x v="10"/>
    </i>
    <i r="1">
      <x v="17"/>
      <x v="2"/>
    </i>
    <i r="1">
      <x v="18"/>
      <x v="4"/>
    </i>
    <i r="1">
      <x v="19"/>
      <x v="8"/>
    </i>
    <i t="blank">
      <x v="6"/>
    </i>
    <i>
      <x v="7"/>
    </i>
    <i r="1">
      <x/>
      <x v="44"/>
    </i>
    <i r="1">
      <x v="1"/>
      <x v="64"/>
    </i>
    <i r="1">
      <x v="2"/>
      <x v="58"/>
    </i>
    <i r="1">
      <x v="3"/>
      <x v="63"/>
    </i>
    <i r="1">
      <x v="4"/>
      <x v="55"/>
    </i>
    <i r="1">
      <x v="5"/>
      <x v="34"/>
    </i>
    <i r="1">
      <x v="6"/>
      <x v="69"/>
    </i>
    <i r="1">
      <x v="7"/>
      <x v="59"/>
    </i>
    <i r="1">
      <x v="8"/>
      <x v="11"/>
    </i>
    <i r="1">
      <x v="9"/>
      <x v="40"/>
    </i>
    <i r="1">
      <x v="10"/>
      <x v="42"/>
    </i>
    <i r="1">
      <x v="11"/>
      <x v="67"/>
    </i>
    <i r="1">
      <x v="12"/>
      <x v="62"/>
    </i>
    <i r="1">
      <x v="13"/>
      <x v="10"/>
    </i>
    <i r="1">
      <x v="14"/>
      <x v="2"/>
    </i>
    <i r="1">
      <x v="15"/>
      <x v="3"/>
    </i>
    <i r="2">
      <x v="4"/>
    </i>
    <i r="2">
      <x v="68"/>
    </i>
    <i r="1">
      <x v="18"/>
      <x v="35"/>
    </i>
    <i r="1">
      <x v="19"/>
      <x v="38"/>
    </i>
    <i r="2">
      <x v="66"/>
    </i>
    <i t="blank">
      <x v="7"/>
    </i>
    <i>
      <x v="8"/>
    </i>
    <i r="1">
      <x/>
      <x v="44"/>
    </i>
    <i r="1">
      <x v="1"/>
      <x v="64"/>
    </i>
    <i r="1">
      <x v="2"/>
      <x v="58"/>
    </i>
    <i r="1">
      <x v="3"/>
      <x v="46"/>
    </i>
    <i r="1">
      <x v="4"/>
      <x v="55"/>
    </i>
    <i r="2">
      <x v="63"/>
    </i>
    <i r="1">
      <x v="6"/>
      <x v="67"/>
    </i>
    <i r="1">
      <x v="7"/>
      <x v="69"/>
    </i>
    <i r="1">
      <x v="8"/>
      <x v="62"/>
    </i>
    <i r="1">
      <x v="9"/>
      <x v="59"/>
    </i>
    <i r="1">
      <x v="10"/>
      <x v="40"/>
    </i>
    <i r="1">
      <x v="11"/>
      <x v="11"/>
    </i>
    <i r="1">
      <x v="12"/>
      <x v="4"/>
    </i>
    <i r="1">
      <x v="13"/>
      <x v="34"/>
    </i>
    <i r="1">
      <x v="14"/>
      <x v="38"/>
    </i>
    <i r="1">
      <x v="15"/>
      <x v="10"/>
    </i>
    <i r="1">
      <x v="16"/>
      <x v="42"/>
    </i>
    <i r="1">
      <x v="17"/>
      <x v="33"/>
    </i>
    <i r="2">
      <x v="68"/>
    </i>
    <i r="1">
      <x v="19"/>
      <x v="51"/>
    </i>
    <i t="blank">
      <x v="8"/>
    </i>
    <i>
      <x v="9"/>
    </i>
    <i r="1">
      <x/>
      <x v="44"/>
    </i>
    <i r="1">
      <x v="1"/>
      <x v="64"/>
    </i>
    <i r="1">
      <x v="2"/>
      <x v="69"/>
    </i>
    <i r="1">
      <x v="3"/>
      <x v="63"/>
    </i>
    <i r="1">
      <x v="4"/>
      <x v="67"/>
    </i>
    <i r="1">
      <x v="5"/>
      <x v="40"/>
    </i>
    <i r="1">
      <x v="6"/>
      <x v="58"/>
    </i>
    <i r="1">
      <x v="7"/>
      <x v="62"/>
    </i>
    <i r="1">
      <x v="8"/>
      <x v="46"/>
    </i>
    <i r="1">
      <x v="9"/>
      <x v="34"/>
    </i>
    <i r="1">
      <x v="10"/>
      <x v="55"/>
    </i>
    <i r="1">
      <x v="11"/>
      <x v="4"/>
    </i>
    <i r="2">
      <x v="68"/>
    </i>
    <i r="1">
      <x v="13"/>
      <x v="27"/>
    </i>
    <i r="1">
      <x v="14"/>
      <x v="42"/>
    </i>
    <i r="1">
      <x v="15"/>
      <x v="59"/>
    </i>
    <i r="1">
      <x v="16"/>
      <x v="3"/>
    </i>
    <i r="1">
      <x v="17"/>
      <x v="38"/>
    </i>
    <i r="2">
      <x v="43"/>
    </i>
    <i r="2">
      <x v="66"/>
    </i>
    <i t="blank">
      <x v="9"/>
    </i>
    <i>
      <x v="10"/>
    </i>
    <i r="1">
      <x/>
      <x v="44"/>
    </i>
    <i r="1">
      <x v="1"/>
      <x v="64"/>
    </i>
    <i r="1">
      <x v="2"/>
      <x v="46"/>
    </i>
    <i r="1">
      <x v="3"/>
      <x v="69"/>
    </i>
    <i r="1">
      <x v="4"/>
      <x v="58"/>
    </i>
    <i r="1">
      <x v="5"/>
      <x v="43"/>
    </i>
    <i r="1">
      <x v="6"/>
      <x v="55"/>
    </i>
    <i r="1">
      <x v="7"/>
      <x v="40"/>
    </i>
    <i r="1">
      <x v="8"/>
      <x v="42"/>
    </i>
    <i r="1">
      <x v="9"/>
      <x v="63"/>
    </i>
    <i r="2">
      <x v="67"/>
    </i>
    <i r="1">
      <x v="11"/>
      <x v="62"/>
    </i>
    <i r="1">
      <x v="12"/>
      <x v="59"/>
    </i>
    <i r="1">
      <x v="13"/>
      <x v="34"/>
    </i>
    <i r="1">
      <x v="14"/>
      <x v="17"/>
    </i>
    <i r="1">
      <x v="15"/>
      <x v="11"/>
    </i>
    <i r="2">
      <x v="68"/>
    </i>
    <i r="1">
      <x v="17"/>
      <x v="10"/>
    </i>
    <i r="2">
      <x v="19"/>
    </i>
    <i r="1">
      <x v="19"/>
      <x v="35"/>
    </i>
    <i t="blank">
      <x v="10"/>
    </i>
    <i>
      <x v="11"/>
    </i>
    <i r="1">
      <x/>
      <x v="64"/>
    </i>
    <i r="1">
      <x v="1"/>
      <x v="44"/>
    </i>
    <i r="1">
      <x v="2"/>
      <x v="63"/>
    </i>
    <i r="1">
      <x v="3"/>
      <x v="46"/>
    </i>
    <i r="1">
      <x v="4"/>
      <x v="67"/>
    </i>
    <i r="1">
      <x v="5"/>
      <x v="58"/>
    </i>
    <i r="1">
      <x v="6"/>
      <x v="69"/>
    </i>
    <i r="1">
      <x v="7"/>
      <x v="1"/>
    </i>
    <i r="1">
      <x v="8"/>
      <x v="40"/>
    </i>
    <i r="1">
      <x v="9"/>
      <x v="11"/>
    </i>
    <i r="1">
      <x v="10"/>
      <x v="4"/>
    </i>
    <i r="2">
      <x v="55"/>
    </i>
    <i r="1">
      <x v="12"/>
      <x v="42"/>
    </i>
    <i r="1">
      <x v="13"/>
      <x v="2"/>
    </i>
    <i r="2">
      <x v="66"/>
    </i>
    <i r="1">
      <x v="15"/>
      <x v="62"/>
    </i>
    <i r="1">
      <x v="16"/>
      <x v="35"/>
    </i>
    <i r="1">
      <x v="17"/>
      <x v="10"/>
    </i>
    <i r="2">
      <x v="59"/>
    </i>
    <i r="1">
      <x v="19"/>
      <x v="27"/>
    </i>
    <i t="blank">
      <x v="11"/>
    </i>
    <i>
      <x v="12"/>
    </i>
    <i r="1">
      <x/>
      <x v="44"/>
    </i>
    <i r="1">
      <x v="1"/>
      <x v="64"/>
    </i>
    <i r="1">
      <x v="2"/>
      <x v="67"/>
    </i>
    <i r="1">
      <x v="3"/>
      <x v="69"/>
    </i>
    <i r="1">
      <x v="4"/>
      <x v="63"/>
    </i>
    <i r="1">
      <x v="5"/>
      <x v="58"/>
    </i>
    <i r="1">
      <x v="6"/>
      <x v="59"/>
    </i>
    <i r="1">
      <x v="7"/>
      <x v="46"/>
    </i>
    <i r="1">
      <x v="8"/>
      <x v="55"/>
    </i>
    <i r="1">
      <x v="9"/>
      <x v="40"/>
    </i>
    <i r="1">
      <x v="10"/>
      <x v="4"/>
    </i>
    <i r="1">
      <x v="11"/>
      <x v="11"/>
    </i>
    <i r="1">
      <x v="12"/>
      <x v="34"/>
    </i>
    <i r="1">
      <x v="13"/>
      <x v="42"/>
    </i>
    <i r="1">
      <x v="14"/>
      <x v="62"/>
    </i>
    <i r="1">
      <x v="15"/>
      <x v="2"/>
    </i>
    <i r="1">
      <x v="16"/>
      <x v="66"/>
    </i>
    <i r="1">
      <x v="17"/>
      <x v="1"/>
    </i>
    <i r="2">
      <x v="10"/>
    </i>
    <i r="1">
      <x v="19"/>
      <x v="51"/>
    </i>
    <i t="blank">
      <x v="12"/>
    </i>
    <i>
      <x v="13"/>
    </i>
    <i r="1">
      <x/>
      <x v="44"/>
    </i>
    <i r="1">
      <x v="1"/>
      <x v="64"/>
    </i>
    <i r="1">
      <x v="2"/>
      <x v="63"/>
    </i>
    <i r="1">
      <x v="3"/>
      <x v="67"/>
    </i>
    <i r="1">
      <x v="4"/>
      <x v="11"/>
    </i>
    <i r="1">
      <x v="5"/>
      <x v="69"/>
    </i>
    <i r="1">
      <x v="6"/>
      <x v="55"/>
    </i>
    <i r="1">
      <x v="7"/>
      <x v="58"/>
    </i>
    <i r="1">
      <x v="8"/>
      <x v="59"/>
    </i>
    <i r="1">
      <x v="9"/>
      <x v="4"/>
    </i>
    <i r="1">
      <x v="10"/>
      <x v="10"/>
    </i>
    <i r="2">
      <x v="62"/>
    </i>
    <i r="1">
      <x v="12"/>
      <x v="40"/>
    </i>
    <i r="1">
      <x v="13"/>
      <x v="9"/>
    </i>
    <i r="1">
      <x v="14"/>
      <x v="35"/>
    </i>
    <i r="1">
      <x v="15"/>
      <x v="46"/>
    </i>
    <i r="1">
      <x v="16"/>
      <x v="3"/>
    </i>
    <i r="2">
      <x v="34"/>
    </i>
    <i r="1">
      <x v="18"/>
      <x v="2"/>
    </i>
    <i r="1">
      <x v="19"/>
      <x v="1"/>
    </i>
    <i t="blank">
      <x v="13"/>
    </i>
    <i>
      <x v="14"/>
    </i>
    <i r="1">
      <x/>
      <x v="64"/>
    </i>
    <i r="1">
      <x v="1"/>
      <x v="44"/>
    </i>
    <i r="1">
      <x v="2"/>
      <x v="69"/>
    </i>
    <i r="1">
      <x v="3"/>
      <x v="46"/>
    </i>
    <i r="2">
      <x v="67"/>
    </i>
    <i r="1">
      <x v="5"/>
      <x v="58"/>
    </i>
    <i r="1">
      <x v="6"/>
      <x v="55"/>
    </i>
    <i r="2">
      <x v="63"/>
    </i>
    <i r="1">
      <x v="8"/>
      <x v="11"/>
    </i>
    <i r="1">
      <x v="9"/>
      <x v="62"/>
    </i>
    <i r="1">
      <x v="10"/>
      <x v="10"/>
    </i>
    <i r="1">
      <x v="11"/>
      <x v="34"/>
    </i>
    <i r="1">
      <x v="12"/>
      <x v="1"/>
    </i>
    <i r="1">
      <x v="13"/>
      <x v="59"/>
    </i>
    <i r="1">
      <x v="14"/>
      <x v="40"/>
    </i>
    <i r="2">
      <x v="43"/>
    </i>
    <i r="2">
      <x v="68"/>
    </i>
    <i r="1">
      <x v="17"/>
      <x v="42"/>
    </i>
    <i r="1">
      <x v="18"/>
      <x v="2"/>
    </i>
    <i r="1">
      <x v="19"/>
      <x v="8"/>
    </i>
    <i r="2">
      <x v="35"/>
    </i>
    <i t="blank">
      <x v="14"/>
    </i>
    <i>
      <x v="15"/>
    </i>
    <i r="1">
      <x/>
      <x v="44"/>
    </i>
    <i r="1">
      <x v="1"/>
      <x v="64"/>
    </i>
    <i r="1">
      <x v="2"/>
      <x v="63"/>
    </i>
    <i r="1">
      <x v="3"/>
      <x v="11"/>
    </i>
    <i r="1">
      <x v="4"/>
      <x v="58"/>
    </i>
    <i r="1">
      <x v="5"/>
      <x v="67"/>
    </i>
    <i r="1">
      <x v="6"/>
      <x v="59"/>
    </i>
    <i r="1">
      <x v="7"/>
      <x v="62"/>
    </i>
    <i r="2">
      <x v="69"/>
    </i>
    <i r="1">
      <x v="9"/>
      <x v="2"/>
    </i>
    <i r="1">
      <x v="10"/>
      <x v="35"/>
    </i>
    <i r="1">
      <x v="11"/>
      <x v="55"/>
    </i>
    <i r="1">
      <x v="12"/>
      <x v="40"/>
    </i>
    <i r="1">
      <x v="13"/>
      <x v="4"/>
    </i>
    <i r="2">
      <x v="10"/>
    </i>
    <i r="1">
      <x v="15"/>
      <x v="1"/>
    </i>
    <i r="2">
      <x v="8"/>
    </i>
    <i r="2">
      <x v="34"/>
    </i>
    <i r="1">
      <x v="18"/>
      <x v="43"/>
    </i>
    <i r="1">
      <x v="19"/>
      <x v="3"/>
    </i>
    <i t="blank">
      <x v="15"/>
    </i>
    <i>
      <x v="16"/>
    </i>
    <i r="1">
      <x/>
      <x v="44"/>
    </i>
    <i r="1">
      <x v="1"/>
      <x v="64"/>
    </i>
    <i r="1">
      <x v="2"/>
      <x v="63"/>
    </i>
    <i r="1">
      <x v="3"/>
      <x v="62"/>
    </i>
    <i r="2">
      <x v="67"/>
    </i>
    <i r="1">
      <x v="5"/>
      <x v="69"/>
    </i>
    <i r="1">
      <x v="6"/>
      <x v="11"/>
    </i>
    <i r="2">
      <x v="46"/>
    </i>
    <i r="1">
      <x v="8"/>
      <x v="4"/>
    </i>
    <i r="1">
      <x v="9"/>
      <x v="3"/>
    </i>
    <i r="1">
      <x v="10"/>
      <x v="2"/>
    </i>
    <i r="2">
      <x v="8"/>
    </i>
    <i r="1">
      <x v="12"/>
      <x v="68"/>
    </i>
    <i r="1">
      <x v="13"/>
      <x v="1"/>
    </i>
    <i r="2">
      <x v="40"/>
    </i>
    <i r="1">
      <x v="15"/>
      <x v="35"/>
    </i>
    <i r="2">
      <x v="51"/>
    </i>
    <i r="1">
      <x v="17"/>
      <x v="7"/>
    </i>
    <i r="2">
      <x v="10"/>
    </i>
    <i r="2">
      <x v="48"/>
    </i>
    <i r="2">
      <x v="55"/>
    </i>
    <i t="blank">
      <x v="16"/>
    </i>
    <i>
      <x v="17"/>
    </i>
    <i r="1">
      <x/>
      <x v="64"/>
    </i>
    <i r="1">
      <x v="1"/>
      <x v="44"/>
    </i>
    <i r="1">
      <x v="2"/>
      <x v="67"/>
    </i>
    <i r="1">
      <x v="3"/>
      <x v="63"/>
    </i>
    <i r="1">
      <x v="4"/>
      <x v="11"/>
    </i>
    <i r="1">
      <x v="5"/>
      <x v="69"/>
    </i>
    <i r="1">
      <x v="6"/>
      <x v="1"/>
    </i>
    <i r="2">
      <x v="4"/>
    </i>
    <i r="1">
      <x v="8"/>
      <x v="10"/>
    </i>
    <i r="1">
      <x v="9"/>
      <x v="3"/>
    </i>
    <i r="1">
      <x v="10"/>
      <x v="2"/>
    </i>
    <i r="1">
      <x v="11"/>
      <x v="62"/>
    </i>
    <i r="1">
      <x v="12"/>
      <x v="72"/>
    </i>
    <i r="1">
      <x v="13"/>
      <x v="66"/>
    </i>
    <i r="1">
      <x v="14"/>
      <x v="5"/>
    </i>
    <i r="2">
      <x v="40"/>
    </i>
    <i r="1">
      <x v="16"/>
      <x v="59"/>
    </i>
    <i r="1">
      <x v="17"/>
      <x v="46"/>
    </i>
    <i r="2">
      <x v="58"/>
    </i>
    <i r="1">
      <x v="19"/>
      <x v="42"/>
    </i>
    <i r="2">
      <x v="55"/>
    </i>
    <i r="2">
      <x v="71"/>
    </i>
    <i t="blank">
      <x v="17"/>
    </i>
    <i>
      <x v="18"/>
    </i>
    <i r="1">
      <x/>
      <x v="64"/>
    </i>
    <i r="1">
      <x v="1"/>
      <x v="67"/>
    </i>
    <i r="1">
      <x v="2"/>
      <x v="44"/>
    </i>
    <i r="1">
      <x v="3"/>
      <x v="46"/>
    </i>
    <i r="1">
      <x v="4"/>
      <x v="69"/>
    </i>
    <i r="1">
      <x v="5"/>
      <x v="55"/>
    </i>
    <i r="1">
      <x v="6"/>
      <x v="27"/>
    </i>
    <i r="1">
      <x v="7"/>
      <x v="63"/>
    </i>
    <i r="1">
      <x v="8"/>
      <x v="66"/>
    </i>
    <i r="1">
      <x v="9"/>
      <x v="40"/>
    </i>
    <i r="1">
      <x v="10"/>
      <x v="62"/>
    </i>
    <i r="1">
      <x v="11"/>
      <x v="49"/>
    </i>
    <i r="1">
      <x v="12"/>
      <x v="50"/>
    </i>
    <i r="1">
      <x v="13"/>
      <x v="4"/>
    </i>
    <i r="2">
      <x v="42"/>
    </i>
    <i r="2">
      <x v="68"/>
    </i>
    <i r="1">
      <x v="16"/>
      <x v="51"/>
    </i>
    <i r="1">
      <x v="17"/>
      <x v="34"/>
    </i>
    <i r="1">
      <x v="18"/>
      <x v="58"/>
    </i>
    <i r="1">
      <x v="19"/>
      <x v="22"/>
    </i>
    <i t="blank">
      <x v="18"/>
    </i>
    <i>
      <x v="19"/>
    </i>
    <i r="1">
      <x/>
      <x v="64"/>
    </i>
    <i r="1">
      <x v="1"/>
      <x v="46"/>
    </i>
    <i r="1">
      <x v="2"/>
      <x v="35"/>
    </i>
    <i r="1">
      <x v="3"/>
      <x v="67"/>
    </i>
    <i r="1">
      <x v="4"/>
      <x v="44"/>
    </i>
    <i r="1">
      <x v="5"/>
      <x v="72"/>
    </i>
    <i r="1">
      <x v="6"/>
      <x v="69"/>
    </i>
    <i r="1">
      <x v="7"/>
      <x v="4"/>
    </i>
    <i r="1">
      <x v="8"/>
      <x v="43"/>
    </i>
    <i r="1">
      <x v="9"/>
      <x v="17"/>
    </i>
    <i r="1">
      <x v="10"/>
      <x v="11"/>
    </i>
    <i r="1">
      <x v="11"/>
      <x v="2"/>
    </i>
    <i r="2">
      <x v="55"/>
    </i>
    <i r="1">
      <x v="13"/>
      <x v="19"/>
    </i>
    <i r="1">
      <x v="14"/>
      <x v="8"/>
    </i>
    <i r="1">
      <x v="15"/>
      <x v="40"/>
    </i>
    <i r="1">
      <x v="16"/>
      <x v="63"/>
    </i>
    <i r="1">
      <x v="17"/>
      <x v="3"/>
    </i>
    <i r="2">
      <x v="62"/>
    </i>
    <i r="1">
      <x v="19"/>
      <x v="10"/>
    </i>
    <i t="blank">
      <x v="19"/>
    </i>
    <i>
      <x v="20"/>
    </i>
    <i r="1">
      <x/>
      <x v="44"/>
    </i>
    <i r="1">
      <x v="1"/>
      <x v="58"/>
    </i>
    <i r="1">
      <x v="2"/>
      <x v="64"/>
    </i>
    <i r="1">
      <x v="3"/>
      <x v="55"/>
    </i>
    <i r="1">
      <x v="4"/>
      <x v="46"/>
    </i>
    <i r="1">
      <x v="5"/>
      <x v="63"/>
    </i>
    <i r="1">
      <x v="6"/>
      <x v="69"/>
    </i>
    <i r="1">
      <x v="7"/>
      <x v="40"/>
    </i>
    <i r="1">
      <x v="8"/>
      <x v="67"/>
    </i>
    <i r="1">
      <x v="9"/>
      <x v="62"/>
    </i>
    <i r="1">
      <x v="10"/>
      <x v="59"/>
    </i>
    <i r="1">
      <x v="11"/>
      <x v="34"/>
    </i>
    <i r="1">
      <x v="12"/>
      <x v="42"/>
    </i>
    <i r="1">
      <x v="13"/>
      <x v="11"/>
    </i>
    <i r="1">
      <x v="14"/>
      <x v="10"/>
    </i>
    <i r="1">
      <x v="15"/>
      <x v="68"/>
    </i>
    <i r="1">
      <x v="16"/>
      <x v="2"/>
    </i>
    <i r="1">
      <x v="17"/>
      <x v="38"/>
    </i>
    <i r="1">
      <x v="18"/>
      <x v="4"/>
    </i>
    <i r="1">
      <x v="19"/>
      <x v="51"/>
    </i>
    <i t="blank">
      <x v="20"/>
    </i>
    <i>
      <x v="21"/>
    </i>
    <i r="1">
      <x/>
      <x v="44"/>
    </i>
    <i r="1">
      <x v="1"/>
      <x v="58"/>
    </i>
    <i r="1">
      <x v="2"/>
      <x v="55"/>
    </i>
    <i r="1">
      <x v="3"/>
      <x v="64"/>
    </i>
    <i r="1">
      <x v="4"/>
      <x v="63"/>
    </i>
    <i r="1">
      <x v="5"/>
      <x v="40"/>
    </i>
    <i r="1">
      <x v="6"/>
      <x v="34"/>
    </i>
    <i r="1">
      <x v="7"/>
      <x v="11"/>
    </i>
    <i r="1">
      <x v="8"/>
      <x v="59"/>
    </i>
    <i r="1">
      <x v="9"/>
      <x v="10"/>
    </i>
    <i r="1">
      <x v="10"/>
      <x v="45"/>
    </i>
    <i r="2">
      <x v="69"/>
    </i>
    <i r="1">
      <x v="12"/>
      <x v="2"/>
    </i>
    <i r="2">
      <x v="42"/>
    </i>
    <i r="1">
      <x v="14"/>
      <x v="33"/>
    </i>
    <i r="1">
      <x v="15"/>
      <x v="46"/>
    </i>
    <i r="1">
      <x v="16"/>
      <x v="43"/>
    </i>
    <i r="1">
      <x v="17"/>
      <x v="54"/>
    </i>
    <i r="2">
      <x v="62"/>
    </i>
    <i r="2">
      <x v="67"/>
    </i>
    <i t="blank">
      <x v="21"/>
    </i>
    <i>
      <x v="22"/>
    </i>
    <i r="1">
      <x/>
      <x v="44"/>
    </i>
    <i r="1">
      <x v="1"/>
      <x v="64"/>
    </i>
    <i r="1">
      <x v="2"/>
      <x v="58"/>
    </i>
    <i r="1">
      <x v="3"/>
      <x v="55"/>
    </i>
    <i r="1">
      <x v="4"/>
      <x v="63"/>
    </i>
    <i r="1">
      <x v="5"/>
      <x v="40"/>
    </i>
    <i r="1">
      <x v="6"/>
      <x v="34"/>
    </i>
    <i r="1">
      <x v="7"/>
      <x v="62"/>
    </i>
    <i r="1">
      <x v="8"/>
      <x v="23"/>
    </i>
    <i r="2">
      <x v="59"/>
    </i>
    <i r="1">
      <x v="10"/>
      <x v="46"/>
    </i>
    <i r="1">
      <x v="11"/>
      <x v="10"/>
    </i>
    <i r="2">
      <x v="69"/>
    </i>
    <i r="1">
      <x v="13"/>
      <x v="11"/>
    </i>
    <i r="2">
      <x v="67"/>
    </i>
    <i r="1">
      <x v="15"/>
      <x v="42"/>
    </i>
    <i r="1">
      <x v="16"/>
      <x v="68"/>
    </i>
    <i r="1">
      <x v="17"/>
      <x v="38"/>
    </i>
    <i r="1">
      <x v="18"/>
      <x v="2"/>
    </i>
    <i r="2">
      <x v="4"/>
    </i>
    <i r="2">
      <x v="33"/>
    </i>
    <i t="blank">
      <x v="22"/>
    </i>
    <i>
      <x v="23"/>
    </i>
    <i r="1">
      <x/>
      <x v="44"/>
    </i>
    <i r="1">
      <x v="1"/>
      <x v="55"/>
    </i>
    <i r="1">
      <x v="2"/>
      <x v="58"/>
    </i>
    <i r="1">
      <x v="3"/>
      <x v="64"/>
    </i>
    <i r="1">
      <x v="4"/>
      <x v="69"/>
    </i>
    <i r="1">
      <x v="5"/>
      <x v="42"/>
    </i>
    <i r="1">
      <x v="6"/>
      <x v="40"/>
    </i>
    <i r="1">
      <x v="7"/>
      <x v="59"/>
    </i>
    <i r="1">
      <x v="8"/>
      <x v="67"/>
    </i>
    <i r="1">
      <x v="9"/>
      <x v="62"/>
    </i>
    <i r="1">
      <x v="10"/>
      <x v="34"/>
    </i>
    <i r="1">
      <x v="11"/>
      <x v="63"/>
    </i>
    <i r="1">
      <x v="12"/>
      <x v="46"/>
    </i>
    <i r="1">
      <x v="13"/>
      <x v="68"/>
    </i>
    <i r="1">
      <x v="14"/>
      <x v="38"/>
    </i>
    <i r="1">
      <x v="15"/>
      <x v="27"/>
    </i>
    <i r="1">
      <x v="16"/>
      <x v="51"/>
    </i>
    <i r="1">
      <x v="17"/>
      <x v="2"/>
    </i>
    <i r="1">
      <x v="18"/>
      <x v="11"/>
    </i>
    <i r="1">
      <x v="19"/>
      <x v="54"/>
    </i>
    <i t="blank">
      <x v="23"/>
    </i>
    <i>
      <x v="24"/>
    </i>
    <i r="1">
      <x/>
      <x v="44"/>
    </i>
    <i r="1">
      <x v="1"/>
      <x v="46"/>
    </i>
    <i r="2">
      <x v="58"/>
    </i>
    <i r="1">
      <x v="3"/>
      <x v="64"/>
    </i>
    <i r="1">
      <x v="4"/>
      <x v="55"/>
    </i>
    <i r="1">
      <x v="5"/>
      <x v="69"/>
    </i>
    <i r="1">
      <x v="6"/>
      <x v="63"/>
    </i>
    <i r="1">
      <x v="7"/>
      <x v="62"/>
    </i>
    <i r="1">
      <x v="8"/>
      <x v="67"/>
    </i>
    <i r="1">
      <x v="9"/>
      <x v="59"/>
    </i>
    <i r="1">
      <x v="10"/>
      <x v="40"/>
    </i>
    <i r="1">
      <x v="11"/>
      <x v="42"/>
    </i>
    <i r="1">
      <x v="12"/>
      <x v="19"/>
    </i>
    <i r="2">
      <x v="34"/>
    </i>
    <i r="1">
      <x v="14"/>
      <x v="10"/>
    </i>
    <i r="2">
      <x v="11"/>
    </i>
    <i r="1">
      <x v="16"/>
      <x v="4"/>
    </i>
    <i r="1">
      <x v="17"/>
      <x v="27"/>
    </i>
    <i r="1">
      <x v="18"/>
      <x v="8"/>
    </i>
    <i r="1">
      <x v="19"/>
      <x v="2"/>
    </i>
    <i r="2">
      <x v="3"/>
    </i>
    <i r="2">
      <x v="38"/>
    </i>
    <i t="blank">
      <x v="24"/>
    </i>
    <i>
      <x v="25"/>
    </i>
    <i r="1">
      <x/>
      <x v="44"/>
    </i>
    <i r="1">
      <x v="1"/>
      <x v="64"/>
    </i>
    <i r="1">
      <x v="2"/>
      <x v="58"/>
    </i>
    <i r="1">
      <x v="3"/>
      <x v="46"/>
    </i>
    <i r="1">
      <x v="4"/>
      <x v="69"/>
    </i>
    <i r="1">
      <x v="5"/>
      <x v="63"/>
    </i>
    <i r="1">
      <x v="6"/>
      <x v="55"/>
    </i>
    <i r="1">
      <x v="7"/>
      <x v="67"/>
    </i>
    <i r="1">
      <x v="8"/>
      <x v="40"/>
    </i>
    <i r="1">
      <x v="9"/>
      <x v="42"/>
    </i>
    <i r="2">
      <x v="62"/>
    </i>
    <i r="1">
      <x v="11"/>
      <x v="51"/>
    </i>
    <i r="1">
      <x v="12"/>
      <x v="59"/>
    </i>
    <i r="1">
      <x v="13"/>
      <x v="1"/>
    </i>
    <i r="1">
      <x v="14"/>
      <x v="38"/>
    </i>
    <i r="1">
      <x v="15"/>
      <x v="34"/>
    </i>
    <i r="1">
      <x v="16"/>
      <x v="2"/>
    </i>
    <i r="2">
      <x v="10"/>
    </i>
    <i r="2">
      <x v="11"/>
    </i>
    <i r="1">
      <x v="19"/>
      <x v="3"/>
    </i>
    <i r="2">
      <x v="66"/>
    </i>
    <i t="blank">
      <x v="25"/>
    </i>
    <i>
      <x v="26"/>
    </i>
    <i r="1">
      <x/>
      <x v="44"/>
    </i>
    <i r="1">
      <x v="1"/>
      <x v="46"/>
    </i>
    <i r="1">
      <x v="2"/>
      <x v="64"/>
    </i>
    <i r="1">
      <x v="3"/>
      <x v="63"/>
    </i>
    <i r="1">
      <x v="4"/>
      <x v="67"/>
    </i>
    <i r="1">
      <x v="5"/>
      <x v="62"/>
    </i>
    <i r="1">
      <x v="6"/>
      <x v="58"/>
    </i>
    <i r="1">
      <x v="7"/>
      <x v="10"/>
    </i>
    <i r="2">
      <x v="11"/>
    </i>
    <i r="1">
      <x v="9"/>
      <x v="1"/>
    </i>
    <i r="1">
      <x v="10"/>
      <x v="69"/>
    </i>
    <i r="1">
      <x v="11"/>
      <x v="4"/>
    </i>
    <i r="2">
      <x v="42"/>
    </i>
    <i r="1">
      <x v="13"/>
      <x v="55"/>
    </i>
    <i r="1">
      <x v="14"/>
      <x v="40"/>
    </i>
    <i r="2">
      <x v="66"/>
    </i>
    <i r="1">
      <x v="16"/>
      <x v="34"/>
    </i>
    <i r="2">
      <x v="35"/>
    </i>
    <i r="1">
      <x v="18"/>
      <x v="9"/>
    </i>
    <i r="2">
      <x v="68"/>
    </i>
    <i t="blank">
      <x v="26"/>
    </i>
    <i>
      <x v="27"/>
    </i>
    <i r="1">
      <x/>
      <x v="44"/>
    </i>
    <i r="1">
      <x v="1"/>
      <x v="64"/>
    </i>
    <i r="1">
      <x v="2"/>
      <x v="67"/>
    </i>
    <i r="1">
      <x v="3"/>
      <x v="46"/>
    </i>
    <i r="1">
      <x v="4"/>
      <x v="69"/>
    </i>
    <i r="1">
      <x v="5"/>
      <x v="55"/>
    </i>
    <i r="1">
      <x v="6"/>
      <x v="68"/>
    </i>
    <i r="1">
      <x v="7"/>
      <x v="49"/>
    </i>
    <i r="1">
      <x v="8"/>
      <x v="58"/>
    </i>
    <i r="2">
      <x v="62"/>
    </i>
    <i r="1">
      <x v="10"/>
      <x v="66"/>
    </i>
    <i r="1">
      <x v="11"/>
      <x v="51"/>
    </i>
    <i r="1">
      <x v="12"/>
      <x v="2"/>
    </i>
    <i r="2">
      <x v="38"/>
    </i>
    <i r="1">
      <x v="14"/>
      <x v="4"/>
    </i>
    <i r="2">
      <x v="50"/>
    </i>
    <i r="1">
      <x v="16"/>
      <x v="63"/>
    </i>
    <i r="1">
      <x v="17"/>
      <x v="40"/>
    </i>
    <i r="2">
      <x v="42"/>
    </i>
    <i r="1">
      <x v="19"/>
      <x v="34"/>
    </i>
    <i t="blank">
      <x v="27"/>
    </i>
    <i>
      <x v="28"/>
    </i>
    <i r="1">
      <x/>
      <x v="44"/>
    </i>
    <i r="1">
      <x v="1"/>
      <x v="64"/>
    </i>
    <i r="1">
      <x v="2"/>
      <x v="67"/>
    </i>
    <i r="1">
      <x v="3"/>
      <x v="63"/>
    </i>
    <i r="1">
      <x v="4"/>
      <x v="58"/>
    </i>
    <i r="1">
      <x v="5"/>
      <x v="69"/>
    </i>
    <i r="1">
      <x v="6"/>
      <x v="55"/>
    </i>
    <i r="1">
      <x v="7"/>
      <x v="62"/>
    </i>
    <i r="1">
      <x v="8"/>
      <x v="10"/>
    </i>
    <i r="1">
      <x v="9"/>
      <x v="59"/>
    </i>
    <i r="1">
      <x v="10"/>
      <x v="40"/>
    </i>
    <i r="1">
      <x v="11"/>
      <x v="1"/>
    </i>
    <i r="1">
      <x v="12"/>
      <x v="11"/>
    </i>
    <i r="1">
      <x v="13"/>
      <x v="42"/>
    </i>
    <i r="1">
      <x v="14"/>
      <x v="46"/>
    </i>
    <i r="1">
      <x v="15"/>
      <x v="2"/>
    </i>
    <i r="2">
      <x v="3"/>
    </i>
    <i r="1">
      <x v="17"/>
      <x v="51"/>
    </i>
    <i r="1">
      <x v="18"/>
      <x v="43"/>
    </i>
    <i r="1">
      <x v="19"/>
      <x v="34"/>
    </i>
    <i t="blank">
      <x v="28"/>
    </i>
    <i>
      <x v="29"/>
    </i>
    <i r="1">
      <x/>
      <x v="44"/>
    </i>
    <i r="1">
      <x v="1"/>
      <x v="64"/>
    </i>
    <i r="1">
      <x v="2"/>
      <x v="67"/>
    </i>
    <i r="1">
      <x v="3"/>
      <x v="69"/>
    </i>
    <i r="1">
      <x v="4"/>
      <x v="63"/>
    </i>
    <i r="1">
      <x v="5"/>
      <x v="1"/>
    </i>
    <i r="1">
      <x v="6"/>
      <x v="58"/>
    </i>
    <i r="1">
      <x v="7"/>
      <x v="55"/>
    </i>
    <i r="1">
      <x v="8"/>
      <x v="3"/>
    </i>
    <i r="1">
      <x v="9"/>
      <x v="11"/>
    </i>
    <i r="1">
      <x v="10"/>
      <x v="10"/>
    </i>
    <i r="2">
      <x v="40"/>
    </i>
    <i r="2">
      <x v="45"/>
    </i>
    <i r="2">
      <x v="62"/>
    </i>
    <i r="1">
      <x v="14"/>
      <x v="34"/>
    </i>
    <i r="2">
      <x v="72"/>
    </i>
    <i r="1">
      <x v="16"/>
      <x v="35"/>
    </i>
    <i r="1">
      <x v="17"/>
      <x v="2"/>
    </i>
    <i r="2">
      <x v="43"/>
    </i>
    <i r="1">
      <x v="19"/>
      <x v="27"/>
    </i>
    <i t="blank">
      <x v="29"/>
    </i>
    <i>
      <x v="30"/>
    </i>
    <i r="1">
      <x/>
      <x v="64"/>
    </i>
    <i r="1">
      <x v="1"/>
      <x v="58"/>
    </i>
    <i r="1">
      <x v="2"/>
      <x v="63"/>
    </i>
    <i r="1">
      <x v="3"/>
      <x v="67"/>
    </i>
    <i r="1">
      <x v="4"/>
      <x v="44"/>
    </i>
    <i r="1">
      <x v="5"/>
      <x v="55"/>
    </i>
    <i r="1">
      <x v="6"/>
      <x v="69"/>
    </i>
    <i r="1">
      <x v="7"/>
      <x v="59"/>
    </i>
    <i r="1">
      <x v="8"/>
      <x v="62"/>
    </i>
    <i r="1">
      <x v="9"/>
      <x v="10"/>
    </i>
    <i r="1">
      <x v="10"/>
      <x v="11"/>
    </i>
    <i r="1">
      <x v="11"/>
      <x v="40"/>
    </i>
    <i r="1">
      <x v="12"/>
      <x v="3"/>
    </i>
    <i r="2">
      <x v="42"/>
    </i>
    <i r="1">
      <x v="14"/>
      <x v="4"/>
    </i>
    <i r="1">
      <x v="15"/>
      <x v="1"/>
    </i>
    <i r="1">
      <x v="16"/>
      <x v="46"/>
    </i>
    <i r="2">
      <x v="51"/>
    </i>
    <i r="1">
      <x v="18"/>
      <x v="72"/>
    </i>
    <i r="1">
      <x v="19"/>
      <x v="43"/>
    </i>
    <i t="blank">
      <x v="30"/>
    </i>
    <i>
      <x v="31"/>
    </i>
    <i r="1">
      <x/>
      <x v="44"/>
    </i>
    <i r="1">
      <x v="1"/>
      <x v="64"/>
    </i>
    <i r="1">
      <x v="2"/>
      <x v="67"/>
    </i>
    <i r="1">
      <x v="3"/>
      <x v="69"/>
    </i>
    <i r="1">
      <x v="4"/>
      <x v="63"/>
    </i>
    <i r="1">
      <x v="5"/>
      <x v="58"/>
    </i>
    <i r="1">
      <x v="6"/>
      <x v="55"/>
    </i>
    <i r="1">
      <x v="7"/>
      <x v="10"/>
    </i>
    <i r="1">
      <x v="8"/>
      <x v="62"/>
    </i>
    <i r="1">
      <x v="9"/>
      <x v="42"/>
    </i>
    <i r="1">
      <x v="10"/>
      <x v="59"/>
    </i>
    <i r="1">
      <x v="11"/>
      <x v="46"/>
    </i>
    <i r="1">
      <x v="12"/>
      <x v="2"/>
    </i>
    <i r="1">
      <x v="13"/>
      <x v="40"/>
    </i>
    <i r="1">
      <x v="14"/>
      <x v="51"/>
    </i>
    <i r="1">
      <x v="15"/>
      <x v="38"/>
    </i>
    <i r="1">
      <x v="16"/>
      <x v="43"/>
    </i>
    <i r="1">
      <x v="17"/>
      <x v="34"/>
    </i>
    <i r="1">
      <x v="18"/>
      <x v="11"/>
    </i>
    <i r="1">
      <x v="19"/>
      <x v="33"/>
    </i>
    <i t="blank">
      <x v="31"/>
    </i>
    <i>
      <x v="32"/>
    </i>
    <i r="1">
      <x/>
      <x v="64"/>
    </i>
    <i r="1">
      <x v="1"/>
      <x v="58"/>
    </i>
    <i r="1">
      <x v="2"/>
      <x v="44"/>
    </i>
    <i r="1">
      <x v="3"/>
      <x v="59"/>
    </i>
    <i r="1">
      <x v="4"/>
      <x v="69"/>
    </i>
    <i r="1">
      <x v="5"/>
      <x v="40"/>
    </i>
    <i r="1">
      <x v="6"/>
      <x v="63"/>
    </i>
    <i r="1">
      <x v="7"/>
      <x v="67"/>
    </i>
    <i r="1">
      <x v="8"/>
      <x v="55"/>
    </i>
    <i r="1">
      <x v="9"/>
      <x v="45"/>
    </i>
    <i r="1">
      <x v="10"/>
      <x v="34"/>
    </i>
    <i r="1">
      <x v="11"/>
      <x v="10"/>
    </i>
    <i r="1">
      <x v="12"/>
      <x v="62"/>
    </i>
    <i r="1">
      <x v="13"/>
      <x v="7"/>
    </i>
    <i r="1">
      <x v="14"/>
      <x v="1"/>
    </i>
    <i r="2">
      <x v="11"/>
    </i>
    <i r="1">
      <x v="16"/>
      <x v="3"/>
    </i>
    <i r="1">
      <x v="17"/>
      <x v="33"/>
    </i>
    <i r="1">
      <x v="18"/>
      <x v="38"/>
    </i>
    <i r="1">
      <x v="19"/>
      <x v="35"/>
    </i>
    <i t="blank">
      <x v="32"/>
    </i>
    <i>
      <x v="33"/>
    </i>
    <i r="1">
      <x/>
      <x v="44"/>
    </i>
    <i r="1">
      <x v="1"/>
      <x v="64"/>
    </i>
    <i r="1">
      <x v="2"/>
      <x v="58"/>
    </i>
    <i r="1">
      <x v="3"/>
      <x v="59"/>
    </i>
    <i r="1">
      <x v="4"/>
      <x v="55"/>
    </i>
    <i r="1">
      <x v="5"/>
      <x v="63"/>
    </i>
    <i r="1">
      <x v="6"/>
      <x v="67"/>
    </i>
    <i r="1">
      <x v="7"/>
      <x v="69"/>
    </i>
    <i r="1">
      <x v="8"/>
      <x v="40"/>
    </i>
    <i r="1">
      <x v="9"/>
      <x v="62"/>
    </i>
    <i r="1">
      <x v="10"/>
      <x v="11"/>
    </i>
    <i r="2">
      <x v="35"/>
    </i>
    <i r="1">
      <x v="12"/>
      <x v="43"/>
    </i>
    <i r="1">
      <x v="13"/>
      <x v="2"/>
    </i>
    <i r="1">
      <x v="14"/>
      <x v="34"/>
    </i>
    <i r="1">
      <x v="15"/>
      <x v="10"/>
    </i>
    <i r="1">
      <x v="16"/>
      <x v="3"/>
    </i>
    <i r="2">
      <x v="46"/>
    </i>
    <i r="1">
      <x v="18"/>
      <x v="1"/>
    </i>
    <i r="1">
      <x v="19"/>
      <x v="42"/>
    </i>
    <i r="2">
      <x v="72"/>
    </i>
    <i t="blank">
      <x v="33"/>
    </i>
    <i>
      <x v="34"/>
    </i>
    <i r="1">
      <x/>
      <x v="44"/>
    </i>
    <i r="1">
      <x v="1"/>
      <x v="40"/>
    </i>
    <i r="1">
      <x v="2"/>
      <x v="55"/>
    </i>
    <i r="1">
      <x v="3"/>
      <x v="64"/>
    </i>
    <i r="1">
      <x v="4"/>
      <x v="27"/>
    </i>
    <i r="1">
      <x v="5"/>
      <x v="67"/>
    </i>
    <i r="1">
      <x v="6"/>
      <x v="60"/>
    </i>
    <i r="1">
      <x v="7"/>
      <x v="34"/>
    </i>
    <i r="2">
      <x v="59"/>
    </i>
    <i r="2">
      <x v="69"/>
    </i>
    <i r="1">
      <x v="10"/>
      <x v="58"/>
    </i>
    <i r="1">
      <x v="11"/>
      <x v="33"/>
    </i>
    <i r="1">
      <x v="12"/>
      <x v="28"/>
    </i>
    <i r="1">
      <x v="13"/>
      <x v="46"/>
    </i>
    <i r="1">
      <x v="14"/>
      <x v="43"/>
    </i>
    <i r="1">
      <x v="15"/>
      <x v="63"/>
    </i>
    <i r="1">
      <x v="16"/>
      <x v="37"/>
    </i>
    <i r="1">
      <x v="17"/>
      <x v="42"/>
    </i>
    <i r="1">
      <x v="18"/>
      <x v="62"/>
    </i>
    <i r="1">
      <x v="19"/>
      <x v="50"/>
    </i>
    <i t="blank">
      <x v="34"/>
    </i>
    <i>
      <x v="35"/>
    </i>
    <i r="1">
      <x/>
      <x v="44"/>
    </i>
    <i r="1">
      <x v="1"/>
      <x v="64"/>
    </i>
    <i r="1">
      <x v="2"/>
      <x v="69"/>
    </i>
    <i r="1">
      <x v="3"/>
      <x v="55"/>
    </i>
    <i r="1">
      <x v="4"/>
      <x v="67"/>
    </i>
    <i r="1">
      <x v="5"/>
      <x v="58"/>
    </i>
    <i r="1">
      <x v="6"/>
      <x v="59"/>
    </i>
    <i r="1">
      <x v="7"/>
      <x v="40"/>
    </i>
    <i r="1">
      <x v="8"/>
      <x v="63"/>
    </i>
    <i r="1">
      <x v="9"/>
      <x v="46"/>
    </i>
    <i r="1">
      <x v="10"/>
      <x v="34"/>
    </i>
    <i r="1">
      <x v="11"/>
      <x v="43"/>
    </i>
    <i r="1">
      <x v="12"/>
      <x v="62"/>
    </i>
    <i r="1">
      <x v="13"/>
      <x v="42"/>
    </i>
    <i r="1">
      <x v="14"/>
      <x v="68"/>
    </i>
    <i r="1">
      <x v="15"/>
      <x v="2"/>
    </i>
    <i r="1">
      <x v="16"/>
      <x v="35"/>
    </i>
    <i r="1">
      <x v="17"/>
      <x v="1"/>
    </i>
    <i r="2">
      <x v="10"/>
    </i>
    <i r="1">
      <x v="19"/>
      <x v="38"/>
    </i>
    <i t="blank">
      <x v="35"/>
    </i>
    <i>
      <x v="36"/>
    </i>
    <i r="1">
      <x/>
      <x v="64"/>
    </i>
    <i r="1">
      <x v="1"/>
      <x v="44"/>
    </i>
    <i r="1">
      <x v="2"/>
      <x v="58"/>
    </i>
    <i r="1">
      <x v="3"/>
      <x v="59"/>
    </i>
    <i r="1">
      <x v="4"/>
      <x v="63"/>
    </i>
    <i r="1">
      <x v="5"/>
      <x v="55"/>
    </i>
    <i r="1">
      <x v="6"/>
      <x v="40"/>
    </i>
    <i r="1">
      <x v="7"/>
      <x v="67"/>
    </i>
    <i r="1">
      <x v="8"/>
      <x v="69"/>
    </i>
    <i r="1">
      <x v="9"/>
      <x v="1"/>
    </i>
    <i r="1">
      <x v="10"/>
      <x v="34"/>
    </i>
    <i r="1">
      <x v="11"/>
      <x v="43"/>
    </i>
    <i r="1">
      <x v="12"/>
      <x v="62"/>
    </i>
    <i r="1">
      <x v="13"/>
      <x v="38"/>
    </i>
    <i r="1">
      <x v="14"/>
      <x v="27"/>
    </i>
    <i r="1">
      <x v="15"/>
      <x v="35"/>
    </i>
    <i r="1">
      <x v="16"/>
      <x v="10"/>
    </i>
    <i r="1">
      <x v="17"/>
      <x v="11"/>
    </i>
    <i r="1">
      <x v="18"/>
      <x v="2"/>
    </i>
    <i r="1">
      <x v="19"/>
      <x v="33"/>
    </i>
    <i t="blank">
      <x v="36"/>
    </i>
    <i>
      <x v="37"/>
    </i>
    <i r="1">
      <x/>
      <x v="44"/>
    </i>
    <i r="1">
      <x v="1"/>
      <x v="64"/>
    </i>
    <i r="1">
      <x v="2"/>
      <x v="69"/>
    </i>
    <i r="1">
      <x v="3"/>
      <x v="59"/>
    </i>
    <i r="1">
      <x v="4"/>
      <x v="55"/>
    </i>
    <i r="1">
      <x v="5"/>
      <x v="67"/>
    </i>
    <i r="1">
      <x v="6"/>
      <x v="58"/>
    </i>
    <i r="1">
      <x v="7"/>
      <x v="40"/>
    </i>
    <i r="1">
      <x v="8"/>
      <x v="63"/>
    </i>
    <i r="1">
      <x v="9"/>
      <x v="1"/>
    </i>
    <i r="1">
      <x v="10"/>
      <x v="46"/>
    </i>
    <i r="1">
      <x v="11"/>
      <x v="27"/>
    </i>
    <i r="2">
      <x v="62"/>
    </i>
    <i r="1">
      <x v="13"/>
      <x v="11"/>
    </i>
    <i r="1">
      <x v="14"/>
      <x v="43"/>
    </i>
    <i r="1">
      <x v="15"/>
      <x v="66"/>
    </i>
    <i r="1">
      <x v="16"/>
      <x v="3"/>
    </i>
    <i r="1">
      <x v="17"/>
      <x v="10"/>
    </i>
    <i r="2">
      <x v="33"/>
    </i>
    <i r="2">
      <x v="35"/>
    </i>
    <i t="blank">
      <x v="37"/>
    </i>
    <i>
      <x v="38"/>
    </i>
    <i r="1">
      <x/>
      <x v="44"/>
    </i>
    <i r="1">
      <x v="1"/>
      <x v="64"/>
    </i>
    <i r="1">
      <x v="2"/>
      <x v="69"/>
    </i>
    <i r="1">
      <x v="3"/>
      <x v="67"/>
    </i>
    <i r="1">
      <x v="4"/>
      <x v="34"/>
    </i>
    <i r="1">
      <x v="5"/>
      <x v="55"/>
    </i>
    <i r="1">
      <x v="6"/>
      <x v="58"/>
    </i>
    <i r="1">
      <x v="7"/>
      <x v="40"/>
    </i>
    <i r="1">
      <x v="8"/>
      <x v="38"/>
    </i>
    <i r="1">
      <x v="9"/>
      <x v="62"/>
    </i>
    <i r="1">
      <x v="10"/>
      <x v="63"/>
    </i>
    <i r="1">
      <x v="11"/>
      <x v="27"/>
    </i>
    <i r="1">
      <x v="12"/>
      <x v="43"/>
    </i>
    <i r="2">
      <x v="60"/>
    </i>
    <i r="1">
      <x v="14"/>
      <x v="45"/>
    </i>
    <i r="2">
      <x v="46"/>
    </i>
    <i r="2">
      <x v="59"/>
    </i>
    <i r="1">
      <x v="17"/>
      <x v="4"/>
    </i>
    <i r="1">
      <x v="18"/>
      <x v="42"/>
    </i>
    <i r="1">
      <x v="19"/>
      <x v="68"/>
    </i>
    <i t="blank">
      <x v="38"/>
    </i>
    <i>
      <x v="39"/>
    </i>
    <i r="1">
      <x/>
      <x v="64"/>
    </i>
    <i r="1">
      <x v="1"/>
      <x v="59"/>
    </i>
    <i r="1">
      <x v="2"/>
      <x v="44"/>
    </i>
    <i r="1">
      <x v="3"/>
      <x v="63"/>
    </i>
    <i r="1">
      <x v="4"/>
      <x v="25"/>
    </i>
    <i r="1">
      <x v="5"/>
      <x v="58"/>
    </i>
    <i r="1">
      <x v="6"/>
      <x v="3"/>
    </i>
    <i r="1">
      <x v="7"/>
      <x v="55"/>
    </i>
    <i r="1">
      <x v="8"/>
      <x v="40"/>
    </i>
    <i r="1">
      <x v="9"/>
      <x v="34"/>
    </i>
    <i r="2">
      <x v="65"/>
    </i>
    <i r="1">
      <x v="11"/>
      <x v="52"/>
    </i>
    <i r="1">
      <x v="12"/>
      <x v="69"/>
    </i>
    <i r="1">
      <x v="13"/>
      <x v="1"/>
    </i>
    <i r="1">
      <x v="14"/>
      <x v="2"/>
    </i>
    <i r="1">
      <x v="15"/>
      <x v="33"/>
    </i>
    <i r="2">
      <x v="60"/>
    </i>
    <i r="2">
      <x v="67"/>
    </i>
    <i r="1">
      <x v="18"/>
      <x v="54"/>
    </i>
    <i r="1">
      <x v="19"/>
      <x v="35"/>
    </i>
    <i t="blank">
      <x v="39"/>
    </i>
    <i>
      <x v="40"/>
    </i>
    <i r="1">
      <x/>
      <x v="44"/>
    </i>
    <i r="1">
      <x v="1"/>
      <x v="64"/>
    </i>
    <i r="1">
      <x v="2"/>
      <x v="67"/>
    </i>
    <i r="1">
      <x v="3"/>
      <x v="63"/>
    </i>
    <i r="1">
      <x v="4"/>
      <x v="55"/>
    </i>
    <i r="1">
      <x v="5"/>
      <x v="69"/>
    </i>
    <i r="1">
      <x v="6"/>
      <x v="58"/>
    </i>
    <i r="1">
      <x v="7"/>
      <x v="59"/>
    </i>
    <i r="1">
      <x v="8"/>
      <x v="34"/>
    </i>
    <i r="2">
      <x v="40"/>
    </i>
    <i r="1">
      <x v="10"/>
      <x v="1"/>
    </i>
    <i r="1">
      <x v="11"/>
      <x v="35"/>
    </i>
    <i r="1">
      <x v="12"/>
      <x v="42"/>
    </i>
    <i r="1">
      <x v="13"/>
      <x v="10"/>
    </i>
    <i r="1">
      <x v="14"/>
      <x v="2"/>
    </i>
    <i r="1">
      <x v="15"/>
      <x v="3"/>
    </i>
    <i r="1">
      <x v="16"/>
      <x v="66"/>
    </i>
    <i r="1">
      <x v="17"/>
      <x v="46"/>
    </i>
    <i r="1">
      <x v="18"/>
      <x v="11"/>
    </i>
    <i r="1">
      <x v="19"/>
      <x v="33"/>
    </i>
    <i t="blank">
      <x v="40"/>
    </i>
    <i>
      <x v="41"/>
    </i>
    <i r="1">
      <x/>
      <x v="44"/>
    </i>
    <i r="1">
      <x v="1"/>
      <x v="43"/>
    </i>
    <i r="1">
      <x v="2"/>
      <x v="64"/>
    </i>
    <i r="1">
      <x v="3"/>
      <x v="46"/>
    </i>
    <i r="1">
      <x v="4"/>
      <x v="58"/>
    </i>
    <i r="1">
      <x v="5"/>
      <x v="63"/>
    </i>
    <i r="1">
      <x v="6"/>
      <x v="40"/>
    </i>
    <i r="1">
      <x v="7"/>
      <x v="35"/>
    </i>
    <i r="2">
      <x v="69"/>
    </i>
    <i r="1">
      <x v="9"/>
      <x v="59"/>
    </i>
    <i r="2">
      <x v="67"/>
    </i>
    <i r="1">
      <x v="11"/>
      <x v="55"/>
    </i>
    <i r="1">
      <x v="12"/>
      <x v="1"/>
    </i>
    <i r="1">
      <x v="13"/>
      <x v="10"/>
    </i>
    <i r="1">
      <x v="14"/>
      <x v="11"/>
    </i>
    <i r="1">
      <x v="15"/>
      <x v="2"/>
    </i>
    <i r="1">
      <x v="16"/>
      <x v="3"/>
    </i>
    <i r="2">
      <x v="42"/>
    </i>
    <i r="1">
      <x v="18"/>
      <x v="72"/>
    </i>
    <i r="1">
      <x v="19"/>
      <x v="4"/>
    </i>
    <i t="blank">
      <x v="41"/>
    </i>
    <i>
      <x v="42"/>
    </i>
    <i r="1">
      <x/>
      <x v="44"/>
    </i>
    <i r="1">
      <x v="1"/>
      <x v="64"/>
    </i>
    <i r="1">
      <x v="2"/>
      <x v="58"/>
    </i>
    <i r="1">
      <x v="3"/>
      <x v="59"/>
    </i>
    <i r="1">
      <x v="4"/>
      <x v="55"/>
    </i>
    <i r="1">
      <x v="5"/>
      <x v="69"/>
    </i>
    <i r="1">
      <x v="6"/>
      <x v="63"/>
    </i>
    <i r="1">
      <x v="7"/>
      <x v="67"/>
    </i>
    <i r="1">
      <x v="8"/>
      <x v="46"/>
    </i>
    <i r="1">
      <x v="9"/>
      <x v="40"/>
    </i>
    <i r="1">
      <x v="10"/>
      <x v="43"/>
    </i>
    <i r="1">
      <x v="11"/>
      <x v="42"/>
    </i>
    <i r="1">
      <x v="12"/>
      <x v="11"/>
    </i>
    <i r="1">
      <x v="13"/>
      <x v="35"/>
    </i>
    <i r="1">
      <x v="14"/>
      <x v="34"/>
    </i>
    <i r="1">
      <x v="15"/>
      <x v="2"/>
    </i>
    <i r="2">
      <x v="4"/>
    </i>
    <i r="2">
      <x v="38"/>
    </i>
    <i r="1">
      <x v="18"/>
      <x v="62"/>
    </i>
    <i r="1">
      <x v="19"/>
      <x v="66"/>
    </i>
    <i t="blank">
      <x v="42"/>
    </i>
    <i>
      <x v="43"/>
    </i>
    <i r="1">
      <x/>
      <x v="44"/>
    </i>
    <i r="1">
      <x v="1"/>
      <x v="64"/>
    </i>
    <i r="1">
      <x v="2"/>
      <x v="43"/>
    </i>
    <i r="2">
      <x v="58"/>
    </i>
    <i r="2">
      <x v="59"/>
    </i>
    <i r="2">
      <x v="63"/>
    </i>
    <i r="1">
      <x v="6"/>
      <x v="55"/>
    </i>
    <i r="1">
      <x v="7"/>
      <x v="46"/>
    </i>
    <i r="2">
      <x v="69"/>
    </i>
    <i r="1">
      <x v="9"/>
      <x v="1"/>
    </i>
    <i r="1">
      <x v="10"/>
      <x v="40"/>
    </i>
    <i r="2">
      <x v="67"/>
    </i>
    <i r="1">
      <x v="12"/>
      <x v="3"/>
    </i>
    <i r="2">
      <x v="45"/>
    </i>
    <i r="1">
      <x v="14"/>
      <x v="35"/>
    </i>
    <i r="1">
      <x v="15"/>
      <x v="34"/>
    </i>
    <i r="1">
      <x v="16"/>
      <x v="4"/>
    </i>
    <i r="2">
      <x v="72"/>
    </i>
    <i r="1">
      <x v="18"/>
      <x v="51"/>
    </i>
    <i r="1">
      <x v="19"/>
      <x v="62"/>
    </i>
    <i t="blank">
      <x v="43"/>
    </i>
    <i>
      <x v="44"/>
    </i>
    <i r="1">
      <x/>
      <x v="44"/>
    </i>
    <i r="1">
      <x v="1"/>
      <x v="64"/>
    </i>
    <i r="1">
      <x v="2"/>
      <x v="43"/>
    </i>
    <i r="1">
      <x v="3"/>
      <x v="67"/>
    </i>
    <i r="1">
      <x v="4"/>
      <x v="58"/>
    </i>
    <i r="1">
      <x v="5"/>
      <x v="69"/>
    </i>
    <i r="1">
      <x v="6"/>
      <x v="55"/>
    </i>
    <i r="1">
      <x v="7"/>
      <x v="63"/>
    </i>
    <i r="1">
      <x v="8"/>
      <x v="59"/>
    </i>
    <i r="1">
      <x v="9"/>
      <x v="27"/>
    </i>
    <i r="1">
      <x v="10"/>
      <x v="35"/>
    </i>
    <i r="1">
      <x v="11"/>
      <x v="45"/>
    </i>
    <i r="2">
      <x v="46"/>
    </i>
    <i r="1">
      <x v="13"/>
      <x v="10"/>
    </i>
    <i r="1">
      <x v="14"/>
      <x v="2"/>
    </i>
    <i r="1">
      <x v="15"/>
      <x v="62"/>
    </i>
    <i r="1">
      <x v="16"/>
      <x v="3"/>
    </i>
    <i r="2">
      <x v="42"/>
    </i>
    <i r="1">
      <x v="18"/>
      <x v="1"/>
    </i>
    <i r="1">
      <x v="19"/>
      <x v="66"/>
    </i>
    <i t="blank">
      <x v="44"/>
    </i>
    <i>
      <x v="45"/>
    </i>
    <i r="1">
      <x/>
      <x v="44"/>
    </i>
    <i r="1">
      <x v="1"/>
      <x v="64"/>
    </i>
    <i r="1">
      <x v="2"/>
      <x v="63"/>
    </i>
    <i r="1">
      <x v="3"/>
      <x v="58"/>
    </i>
    <i r="1">
      <x v="4"/>
      <x v="55"/>
    </i>
    <i r="1">
      <x v="5"/>
      <x v="46"/>
    </i>
    <i r="2">
      <x v="59"/>
    </i>
    <i r="1">
      <x v="7"/>
      <x v="67"/>
    </i>
    <i r="1">
      <x v="8"/>
      <x v="69"/>
    </i>
    <i r="1">
      <x v="9"/>
      <x v="10"/>
    </i>
    <i r="1">
      <x v="10"/>
      <x v="62"/>
    </i>
    <i r="1">
      <x v="11"/>
      <x v="34"/>
    </i>
    <i r="1">
      <x v="12"/>
      <x v="11"/>
    </i>
    <i r="2">
      <x v="45"/>
    </i>
    <i r="1">
      <x v="14"/>
      <x v="2"/>
    </i>
    <i r="2">
      <x v="43"/>
    </i>
    <i r="1">
      <x v="16"/>
      <x v="3"/>
    </i>
    <i r="2">
      <x v="35"/>
    </i>
    <i r="1">
      <x v="18"/>
      <x v="40"/>
    </i>
    <i r="1">
      <x v="19"/>
      <x v="4"/>
    </i>
    <i t="blank">
      <x v="45"/>
    </i>
    <i>
      <x v="46"/>
    </i>
    <i r="1">
      <x/>
      <x v="44"/>
    </i>
    <i r="1">
      <x v="1"/>
      <x v="64"/>
    </i>
    <i r="1">
      <x v="2"/>
      <x v="45"/>
    </i>
    <i r="1">
      <x v="3"/>
      <x v="1"/>
    </i>
    <i r="2">
      <x v="63"/>
    </i>
    <i r="1">
      <x v="5"/>
      <x v="3"/>
    </i>
    <i r="2">
      <x v="10"/>
    </i>
    <i r="1">
      <x v="7"/>
      <x v="43"/>
    </i>
    <i r="2">
      <x v="58"/>
    </i>
    <i r="1">
      <x v="9"/>
      <x v="67"/>
    </i>
    <i r="1">
      <x v="10"/>
      <x v="11"/>
    </i>
    <i r="2">
      <x v="40"/>
    </i>
    <i r="1">
      <x v="12"/>
      <x v="33"/>
    </i>
    <i r="2">
      <x v="55"/>
    </i>
    <i r="1">
      <x v="14"/>
      <x v="2"/>
    </i>
    <i r="2">
      <x v="7"/>
    </i>
    <i r="2">
      <x v="69"/>
    </i>
    <i r="1">
      <x v="17"/>
      <x v="59"/>
    </i>
    <i r="1">
      <x v="18"/>
      <x v="35"/>
    </i>
    <i r="1">
      <x v="19"/>
      <x v="34"/>
    </i>
    <i t="blank">
      <x v="46"/>
    </i>
    <i>
      <x v="47"/>
    </i>
    <i r="1">
      <x/>
      <x v="44"/>
    </i>
    <i r="1">
      <x v="1"/>
      <x v="43"/>
    </i>
    <i r="1">
      <x v="2"/>
      <x v="64"/>
    </i>
    <i r="1">
      <x v="3"/>
      <x v="17"/>
    </i>
    <i r="1">
      <x v="4"/>
      <x v="45"/>
    </i>
    <i r="1">
      <x v="5"/>
      <x v="11"/>
    </i>
    <i r="1">
      <x v="6"/>
      <x v="63"/>
    </i>
    <i r="1">
      <x v="7"/>
      <x v="72"/>
    </i>
    <i r="1">
      <x v="8"/>
      <x v="1"/>
    </i>
    <i r="2">
      <x v="67"/>
    </i>
    <i r="1">
      <x v="10"/>
      <x v="19"/>
    </i>
    <i r="2">
      <x v="20"/>
    </i>
    <i r="1">
      <x v="12"/>
      <x v="3"/>
    </i>
    <i r="2">
      <x v="10"/>
    </i>
    <i r="1">
      <x v="14"/>
      <x v="18"/>
    </i>
    <i r="1">
      <x v="15"/>
      <x v="4"/>
    </i>
    <i r="2">
      <x v="55"/>
    </i>
    <i r="2">
      <x v="58"/>
    </i>
    <i r="1">
      <x v="18"/>
      <x v="69"/>
    </i>
    <i r="1">
      <x v="19"/>
      <x v="2"/>
    </i>
    <i r="2">
      <x v="7"/>
    </i>
    <i r="2">
      <x v="46"/>
    </i>
    <i t="blank">
      <x v="47"/>
    </i>
    <i>
      <x v="48"/>
    </i>
    <i r="1">
      <x/>
      <x v="55"/>
    </i>
    <i r="1">
      <x v="1"/>
      <x v="64"/>
    </i>
    <i r="1">
      <x v="2"/>
      <x v="40"/>
    </i>
    <i r="2">
      <x v="44"/>
    </i>
    <i r="1">
      <x v="4"/>
      <x v="3"/>
    </i>
    <i r="1">
      <x v="5"/>
      <x v="2"/>
    </i>
    <i r="1">
      <x v="6"/>
      <x v="35"/>
    </i>
    <i r="1">
      <x v="7"/>
      <x v="1"/>
    </i>
    <i r="2">
      <x v="42"/>
    </i>
    <i r="2">
      <x v="51"/>
    </i>
    <i r="1">
      <x v="10"/>
      <x v="46"/>
    </i>
    <i r="2">
      <x v="69"/>
    </i>
    <i r="1">
      <x v="12"/>
      <x v="33"/>
    </i>
    <i r="1">
      <x v="13"/>
      <x v="63"/>
    </i>
    <i r="1">
      <x v="14"/>
      <x v="27"/>
    </i>
    <i r="2">
      <x v="54"/>
    </i>
    <i r="2">
      <x v="65"/>
    </i>
    <i r="1">
      <x v="17"/>
      <x v="7"/>
    </i>
    <i r="2">
      <x v="39"/>
    </i>
    <i r="1">
      <x v="19"/>
      <x v="6"/>
    </i>
    <i r="2">
      <x v="11"/>
    </i>
    <i r="2">
      <x v="34"/>
    </i>
    <i r="2">
      <x v="49"/>
    </i>
    <i r="2">
      <x v="67"/>
    </i>
    <i t="blank">
      <x v="48"/>
    </i>
    <i>
      <x v="49"/>
    </i>
    <i r="1">
      <x/>
      <x v="44"/>
    </i>
    <i r="1">
      <x v="1"/>
      <x v="64"/>
    </i>
    <i r="1">
      <x v="2"/>
      <x v="67"/>
    </i>
    <i r="1">
      <x v="3"/>
      <x v="35"/>
    </i>
    <i r="2">
      <x v="43"/>
    </i>
    <i r="2">
      <x v="63"/>
    </i>
    <i r="1">
      <x v="6"/>
      <x v="69"/>
    </i>
    <i r="1">
      <x v="7"/>
      <x v="3"/>
    </i>
    <i r="2">
      <x v="58"/>
    </i>
    <i r="1">
      <x v="9"/>
      <x v="55"/>
    </i>
    <i r="1">
      <x v="10"/>
      <x v="72"/>
    </i>
    <i r="1">
      <x v="11"/>
      <x v="2"/>
    </i>
    <i r="2">
      <x v="40"/>
    </i>
    <i r="1">
      <x v="13"/>
      <x v="26"/>
    </i>
    <i r="2">
      <x v="59"/>
    </i>
    <i r="1">
      <x v="15"/>
      <x v="1"/>
    </i>
    <i r="1">
      <x v="16"/>
      <x v="10"/>
    </i>
    <i r="1">
      <x v="17"/>
      <x v="34"/>
    </i>
    <i r="2">
      <x v="46"/>
    </i>
    <i r="1">
      <x v="19"/>
      <x v="4"/>
    </i>
    <i r="2">
      <x v="7"/>
    </i>
    <i r="2">
      <x v="18"/>
    </i>
    <i t="blank">
      <x v="49"/>
    </i>
    <i>
      <x v="50"/>
    </i>
    <i r="1">
      <x/>
      <x v="44"/>
    </i>
    <i r="1">
      <x v="1"/>
      <x v="45"/>
    </i>
    <i r="1">
      <x v="2"/>
      <x v="67"/>
    </i>
    <i r="1">
      <x v="3"/>
      <x v="64"/>
    </i>
    <i r="1">
      <x v="4"/>
      <x v="55"/>
    </i>
    <i r="1">
      <x v="5"/>
      <x v="63"/>
    </i>
    <i r="1">
      <x v="6"/>
      <x v="1"/>
    </i>
    <i r="2">
      <x v="69"/>
    </i>
    <i r="1">
      <x v="8"/>
      <x v="43"/>
    </i>
    <i r="1">
      <x v="9"/>
      <x v="34"/>
    </i>
    <i r="2">
      <x v="40"/>
    </i>
    <i r="1">
      <x v="11"/>
      <x v="2"/>
    </i>
    <i r="1">
      <x v="12"/>
      <x v="38"/>
    </i>
    <i r="2">
      <x v="46"/>
    </i>
    <i r="2">
      <x v="60"/>
    </i>
    <i r="2">
      <x v="68"/>
    </i>
    <i r="1">
      <x v="16"/>
      <x v="3"/>
    </i>
    <i r="2">
      <x v="11"/>
    </i>
    <i r="2">
      <x v="35"/>
    </i>
    <i r="2">
      <x v="42"/>
    </i>
    <i t="blank">
      <x v="50"/>
    </i>
    <i>
      <x v="51"/>
    </i>
    <i r="1">
      <x/>
      <x v="44"/>
    </i>
    <i r="1">
      <x v="1"/>
      <x v="64"/>
    </i>
    <i r="1">
      <x v="2"/>
      <x v="67"/>
    </i>
    <i r="1">
      <x v="3"/>
      <x v="45"/>
    </i>
    <i r="1">
      <x v="4"/>
      <x v="40"/>
    </i>
    <i r="1">
      <x v="5"/>
      <x v="43"/>
    </i>
    <i r="2">
      <x v="59"/>
    </i>
    <i r="2">
      <x v="63"/>
    </i>
    <i r="2">
      <x v="69"/>
    </i>
    <i r="1">
      <x v="9"/>
      <x v="33"/>
    </i>
    <i r="1">
      <x v="10"/>
      <x v="55"/>
    </i>
    <i r="1">
      <x v="11"/>
      <x v="3"/>
    </i>
    <i r="2">
      <x v="62"/>
    </i>
    <i r="1">
      <x v="13"/>
      <x v="66"/>
    </i>
    <i r="1">
      <x v="14"/>
      <x v="27"/>
    </i>
    <i r="2">
      <x v="38"/>
    </i>
    <i r="1">
      <x v="16"/>
      <x v="34"/>
    </i>
    <i r="2">
      <x v="58"/>
    </i>
    <i r="1">
      <x v="18"/>
      <x v="30"/>
    </i>
    <i r="2">
      <x v="31"/>
    </i>
    <i r="2">
      <x v="35"/>
    </i>
    <i r="2">
      <x v="41"/>
    </i>
    <i r="2">
      <x v="68"/>
    </i>
    <i t="blank">
      <x v="51"/>
    </i>
    <i>
      <x v="52"/>
    </i>
    <i r="1">
      <x/>
      <x v="3"/>
    </i>
    <i r="2">
      <x v="35"/>
    </i>
    <i r="2">
      <x v="64"/>
    </i>
    <i r="1">
      <x v="3"/>
      <x v="1"/>
    </i>
    <i r="2">
      <x v="2"/>
    </i>
    <i r="2">
      <x v="44"/>
    </i>
    <i r="1">
      <x v="6"/>
      <x v="7"/>
    </i>
    <i r="1">
      <x v="7"/>
      <x v="72"/>
    </i>
    <i r="1">
      <x v="8"/>
      <x v="6"/>
    </i>
    <i r="2">
      <x v="10"/>
    </i>
    <i r="2">
      <x v="17"/>
    </i>
    <i r="2">
      <x v="34"/>
    </i>
    <i r="2">
      <x v="43"/>
    </i>
    <i r="2">
      <x v="63"/>
    </i>
    <i r="1">
      <x v="14"/>
      <x v="19"/>
    </i>
    <i r="2">
      <x v="26"/>
    </i>
    <i r="2">
      <x v="41"/>
    </i>
    <i r="2">
      <x v="45"/>
    </i>
    <i r="1">
      <x v="18"/>
      <x v="9"/>
    </i>
    <i r="2">
      <x v="11"/>
    </i>
    <i r="2">
      <x v="15"/>
    </i>
    <i r="2">
      <x v="40"/>
    </i>
    <i t="blank">
      <x v="52"/>
    </i>
    <i>
      <x v="53"/>
    </i>
    <i r="1">
      <x/>
      <x v="44"/>
    </i>
    <i r="1">
      <x v="1"/>
      <x v="43"/>
    </i>
    <i r="1">
      <x v="2"/>
      <x v="55"/>
    </i>
    <i r="1">
      <x v="3"/>
      <x v="64"/>
    </i>
    <i r="1">
      <x v="4"/>
      <x v="1"/>
    </i>
    <i r="2">
      <x v="35"/>
    </i>
    <i r="2">
      <x v="59"/>
    </i>
    <i r="1">
      <x v="7"/>
      <x v="69"/>
    </i>
    <i r="1">
      <x v="8"/>
      <x v="3"/>
    </i>
    <i r="1">
      <x v="9"/>
      <x v="10"/>
    </i>
    <i r="1">
      <x v="10"/>
      <x v="2"/>
    </i>
    <i r="2">
      <x v="7"/>
    </i>
    <i r="2">
      <x v="11"/>
    </i>
    <i r="2">
      <x v="46"/>
    </i>
    <i r="2">
      <x v="63"/>
    </i>
    <i r="1">
      <x v="15"/>
      <x v="4"/>
    </i>
    <i r="2">
      <x v="58"/>
    </i>
    <i r="2">
      <x v="73"/>
    </i>
    <i r="1">
      <x v="18"/>
      <x v="21"/>
    </i>
    <i r="2">
      <x v="26"/>
    </i>
    <i r="2">
      <x v="34"/>
    </i>
    <i r="2">
      <x v="51"/>
    </i>
    <i r="2">
      <x v="67"/>
    </i>
    <i t="blank">
      <x v="53"/>
    </i>
    <i>
      <x v="54"/>
    </i>
    <i r="1">
      <x/>
      <x v="44"/>
    </i>
    <i r="1">
      <x v="1"/>
      <x v="45"/>
    </i>
    <i r="1">
      <x v="2"/>
      <x v="64"/>
    </i>
    <i r="1">
      <x v="3"/>
      <x v="3"/>
    </i>
    <i r="2">
      <x v="54"/>
    </i>
    <i r="2">
      <x v="58"/>
    </i>
    <i r="2">
      <x v="59"/>
    </i>
    <i r="1">
      <x v="7"/>
      <x v="63"/>
    </i>
    <i r="1">
      <x v="8"/>
      <x v="40"/>
    </i>
    <i r="2">
      <x v="51"/>
    </i>
    <i r="1">
      <x v="10"/>
      <x v="27"/>
    </i>
    <i r="2">
      <x v="46"/>
    </i>
    <i r="2">
      <x v="55"/>
    </i>
    <i r="2">
      <x v="67"/>
    </i>
    <i r="2">
      <x v="72"/>
    </i>
    <i r="1">
      <x v="15"/>
      <x v="1"/>
    </i>
    <i r="2">
      <x v="10"/>
    </i>
    <i r="2">
      <x v="43"/>
    </i>
    <i r="2">
      <x v="52"/>
    </i>
    <i r="2">
      <x v="61"/>
    </i>
    <i r="2">
      <x v="69"/>
    </i>
    <i t="blank">
      <x v="54"/>
    </i>
    <i>
      <x v="55"/>
    </i>
    <i r="1">
      <x/>
      <x v="1"/>
    </i>
    <i r="1">
      <x v="1"/>
      <x v="45"/>
    </i>
    <i r="2">
      <x v="64"/>
    </i>
    <i r="1">
      <x v="3"/>
      <x v="34"/>
    </i>
    <i r="1">
      <x v="4"/>
      <x v="63"/>
    </i>
    <i r="1">
      <x v="5"/>
      <x v="67"/>
    </i>
    <i r="1">
      <x v="6"/>
      <x v="10"/>
    </i>
    <i r="2">
      <x v="35"/>
    </i>
    <i r="2">
      <x v="40"/>
    </i>
    <i r="2">
      <x v="72"/>
    </i>
    <i r="1">
      <x v="10"/>
      <x v="32"/>
    </i>
    <i r="2">
      <x v="43"/>
    </i>
    <i r="1">
      <x v="12"/>
      <x v="3"/>
    </i>
    <i r="2">
      <x v="44"/>
    </i>
    <i r="2">
      <x v="60"/>
    </i>
    <i r="1">
      <x v="15"/>
      <x v="7"/>
    </i>
    <i r="2">
      <x v="24"/>
    </i>
    <i r="2">
      <x v="29"/>
    </i>
    <i r="2">
      <x v="30"/>
    </i>
    <i r="2">
      <x v="33"/>
    </i>
    <i r="2">
      <x v="37"/>
    </i>
    <i r="2">
      <x v="38"/>
    </i>
    <i r="2">
      <x v="53"/>
    </i>
    <i r="2">
      <x v="54"/>
    </i>
    <i r="2">
      <x v="55"/>
    </i>
    <i t="blank">
      <x v="55"/>
    </i>
    <i>
      <x v="56"/>
    </i>
    <i r="1">
      <x/>
      <x v="44"/>
    </i>
    <i r="1">
      <x v="1"/>
      <x v="64"/>
    </i>
    <i r="1">
      <x v="2"/>
      <x v="43"/>
    </i>
    <i r="1">
      <x v="3"/>
      <x v="45"/>
    </i>
    <i r="1">
      <x v="4"/>
      <x v="58"/>
    </i>
    <i r="1">
      <x v="5"/>
      <x v="67"/>
    </i>
    <i r="1">
      <x v="6"/>
      <x v="69"/>
    </i>
    <i r="1">
      <x v="7"/>
      <x v="3"/>
    </i>
    <i r="2">
      <x v="35"/>
    </i>
    <i r="2">
      <x v="59"/>
    </i>
    <i r="2">
      <x v="63"/>
    </i>
    <i r="1">
      <x v="11"/>
      <x v="1"/>
    </i>
    <i r="2">
      <x v="2"/>
    </i>
    <i r="2">
      <x v="11"/>
    </i>
    <i r="2">
      <x v="55"/>
    </i>
    <i r="2">
      <x v="66"/>
    </i>
    <i r="1">
      <x v="16"/>
      <x v="33"/>
    </i>
    <i r="2">
      <x v="34"/>
    </i>
    <i r="2">
      <x v="40"/>
    </i>
    <i r="2">
      <x v="42"/>
    </i>
    <i r="2">
      <x v="62"/>
    </i>
    <i t="blank">
      <x v="56"/>
    </i>
    <i>
      <x v="57"/>
    </i>
    <i r="1">
      <x/>
      <x v="53"/>
    </i>
    <i r="1">
      <x v="1"/>
      <x v="52"/>
    </i>
    <i r="1">
      <x v="2"/>
      <x v="40"/>
    </i>
    <i r="1">
      <x v="3"/>
      <x v="46"/>
    </i>
    <i r="1">
      <x v="4"/>
      <x v="54"/>
    </i>
    <i r="1">
      <x v="5"/>
      <x v="55"/>
    </i>
    <i r="1">
      <x v="6"/>
      <x v="44"/>
    </i>
    <i r="1">
      <x v="7"/>
      <x v="1"/>
    </i>
    <i r="1">
      <x v="8"/>
      <x v="33"/>
    </i>
    <i r="1">
      <x v="9"/>
      <x v="56"/>
    </i>
    <i r="1">
      <x v="10"/>
      <x v="34"/>
    </i>
    <i r="1">
      <x v="11"/>
      <x v="45"/>
    </i>
    <i r="2">
      <x v="60"/>
    </i>
    <i r="1">
      <x v="13"/>
      <x v="10"/>
    </i>
    <i r="1">
      <x v="14"/>
      <x v="58"/>
    </i>
    <i r="2">
      <x v="64"/>
    </i>
    <i r="1">
      <x v="16"/>
      <x v="2"/>
    </i>
    <i r="2">
      <x v="61"/>
    </i>
    <i r="2">
      <x v="63"/>
    </i>
    <i r="1">
      <x v="19"/>
      <x v="11"/>
    </i>
    <i r="2">
      <x v="59"/>
    </i>
    <i t="blank">
      <x v="57"/>
    </i>
    <i>
      <x v="58"/>
    </i>
    <i r="1">
      <x/>
      <x v="52"/>
    </i>
    <i r="1">
      <x v="1"/>
      <x v="16"/>
    </i>
    <i r="1">
      <x v="2"/>
      <x v="55"/>
    </i>
    <i r="2">
      <x v="64"/>
    </i>
    <i r="1">
      <x v="4"/>
      <x v="40"/>
    </i>
    <i r="2">
      <x v="44"/>
    </i>
    <i r="1">
      <x v="6"/>
      <x v="1"/>
    </i>
    <i r="2">
      <x v="45"/>
    </i>
    <i r="2">
      <x v="63"/>
    </i>
    <i r="1">
      <x v="9"/>
      <x/>
    </i>
    <i r="2">
      <x v="11"/>
    </i>
    <i r="2">
      <x v="31"/>
    </i>
    <i r="2">
      <x v="32"/>
    </i>
    <i r="2">
      <x v="34"/>
    </i>
    <i r="2">
      <x v="38"/>
    </i>
    <i r="2">
      <x v="42"/>
    </i>
    <i r="2">
      <x v="54"/>
    </i>
    <i r="2">
      <x v="57"/>
    </i>
    <i r="1">
      <x v="18"/>
      <x v="3"/>
    </i>
    <i r="2">
      <x v="12"/>
    </i>
    <i r="2">
      <x v="46"/>
    </i>
    <i r="2">
      <x v="59"/>
    </i>
    <i r="2">
      <x v="62"/>
    </i>
    <i r="2">
      <x v="65"/>
    </i>
    <i t="blank">
      <x v="58"/>
    </i>
    <i>
      <x v="59"/>
    </i>
    <i r="1">
      <x/>
      <x v="44"/>
    </i>
    <i r="1">
      <x v="1"/>
      <x v="64"/>
    </i>
    <i r="1">
      <x v="2"/>
      <x v="59"/>
    </i>
    <i r="1">
      <x v="3"/>
      <x v="55"/>
    </i>
    <i r="1">
      <x v="4"/>
      <x v="52"/>
    </i>
    <i r="1">
      <x v="5"/>
      <x v="33"/>
    </i>
    <i r="2">
      <x v="63"/>
    </i>
    <i r="1">
      <x v="7"/>
      <x v="58"/>
    </i>
    <i r="1">
      <x v="8"/>
      <x v="69"/>
    </i>
    <i r="1">
      <x v="9"/>
      <x v="34"/>
    </i>
    <i r="2">
      <x v="40"/>
    </i>
    <i r="1">
      <x v="11"/>
      <x v="27"/>
    </i>
    <i r="2">
      <x v="60"/>
    </i>
    <i r="1">
      <x v="13"/>
      <x v="1"/>
    </i>
    <i r="2">
      <x v="10"/>
    </i>
    <i r="1">
      <x v="15"/>
      <x v="11"/>
    </i>
    <i r="1">
      <x v="16"/>
      <x v="42"/>
    </i>
    <i r="2">
      <x v="54"/>
    </i>
    <i r="1">
      <x v="18"/>
      <x v="38"/>
    </i>
    <i r="1">
      <x v="19"/>
      <x v="2"/>
    </i>
    <i r="2">
      <x v="3"/>
    </i>
    <i r="2">
      <x v="62"/>
    </i>
    <i t="blank">
      <x v="59"/>
    </i>
    <i>
      <x v="60"/>
    </i>
    <i r="1">
      <x/>
      <x v="44"/>
    </i>
    <i r="2">
      <x v="58"/>
    </i>
    <i r="2">
      <x v="64"/>
    </i>
    <i r="1">
      <x v="3"/>
      <x v="1"/>
    </i>
    <i r="1">
      <x v="4"/>
      <x v="3"/>
    </i>
    <i r="2">
      <x v="10"/>
    </i>
    <i r="1">
      <x v="6"/>
      <x v="63"/>
    </i>
    <i r="1">
      <x v="7"/>
      <x v="55"/>
    </i>
    <i r="1">
      <x v="8"/>
      <x v="13"/>
    </i>
    <i r="2">
      <x v="35"/>
    </i>
    <i r="1">
      <x v="10"/>
      <x v="2"/>
    </i>
    <i r="1">
      <x v="11"/>
      <x v="11"/>
    </i>
    <i r="1">
      <x v="12"/>
      <x v="5"/>
    </i>
    <i r="2">
      <x v="40"/>
    </i>
    <i r="2">
      <x v="67"/>
    </i>
    <i r="1">
      <x v="15"/>
      <x v="17"/>
    </i>
    <i r="2">
      <x v="59"/>
    </i>
    <i r="1">
      <x v="17"/>
      <x v="43"/>
    </i>
    <i r="2">
      <x v="72"/>
    </i>
    <i r="1">
      <x v="19"/>
      <x v="34"/>
    </i>
    <i t="blank">
      <x v="60"/>
    </i>
    <i>
      <x v="61"/>
    </i>
    <i r="1">
      <x/>
      <x v="40"/>
    </i>
    <i r="2">
      <x v="54"/>
    </i>
    <i r="1">
      <x v="2"/>
      <x v="3"/>
    </i>
    <i r="2">
      <x v="60"/>
    </i>
    <i r="2">
      <x v="67"/>
    </i>
    <i r="1">
      <x v="5"/>
      <x v="1"/>
    </i>
    <i r="2">
      <x v="2"/>
    </i>
    <i r="2">
      <x v="10"/>
    </i>
    <i r="2">
      <x v="36"/>
    </i>
    <i r="1">
      <x v="9"/>
      <x v="5"/>
    </i>
    <i r="2">
      <x v="33"/>
    </i>
    <i r="2">
      <x v="39"/>
    </i>
    <i r="2">
      <x v="44"/>
    </i>
    <i r="2">
      <x v="53"/>
    </i>
    <i r="2">
      <x v="55"/>
    </i>
    <i r="2">
      <x v="62"/>
    </i>
    <i r="2">
      <x v="65"/>
    </i>
    <i r="2">
      <x v="69"/>
    </i>
    <i r="2">
      <x v="70"/>
    </i>
    <i r="2">
      <x v="72"/>
    </i>
    <i t="blank">
      <x v="6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886">
      <pivotArea field="5" type="button" dataOnly="0" labelOnly="1" outline="0" axis="axisRow" fieldPosition="0"/>
    </format>
    <format dxfId="885">
      <pivotArea outline="0" fieldPosition="0">
        <references count="1">
          <reference field="4294967294" count="1">
            <x v="0"/>
          </reference>
        </references>
      </pivotArea>
    </format>
    <format dxfId="884">
      <pivotArea outline="0" fieldPosition="0">
        <references count="1">
          <reference field="4294967294" count="1">
            <x v="1"/>
          </reference>
        </references>
      </pivotArea>
    </format>
    <format dxfId="883">
      <pivotArea outline="0" fieldPosition="0">
        <references count="1">
          <reference field="4294967294" count="1">
            <x v="2"/>
          </reference>
        </references>
      </pivotArea>
    </format>
    <format dxfId="882">
      <pivotArea outline="0" fieldPosition="0">
        <references count="1">
          <reference field="4294967294" count="1">
            <x v="3"/>
          </reference>
        </references>
      </pivotArea>
    </format>
    <format dxfId="881">
      <pivotArea outline="0" fieldPosition="0">
        <references count="1">
          <reference field="4294967294" count="1">
            <x v="4"/>
          </reference>
        </references>
      </pivotArea>
    </format>
    <format dxfId="880">
      <pivotArea outline="0" fieldPosition="0">
        <references count="1">
          <reference field="4294967294" count="1">
            <x v="5"/>
          </reference>
        </references>
      </pivotArea>
    </format>
    <format dxfId="879">
      <pivotArea outline="0" fieldPosition="0">
        <references count="1">
          <reference field="4294967294" count="1">
            <x v="6"/>
          </reference>
        </references>
      </pivotArea>
    </format>
    <format dxfId="878">
      <pivotArea field="5" type="button" dataOnly="0" labelOnly="1" outline="0" axis="axisRow" fieldPosition="0"/>
    </format>
    <format dxfId="8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6">
      <pivotArea field="5" type="button" dataOnly="0" labelOnly="1" outline="0" axis="axisRow" fieldPosition="0"/>
    </format>
    <format dxfId="8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4">
      <pivotArea field="5" type="button" dataOnly="0" labelOnly="1" outline="0" axis="axisRow" fieldPosition="0"/>
    </format>
    <format dxfId="8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2">
      <pivotArea field="5" type="button" dataOnly="0" labelOnly="1" outline="0" axis="axisRow" fieldPosition="0"/>
    </format>
    <format dxfId="8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8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14000" displayName="LTBL_14000" ref="B4:I20" totalsRowCount="1">
  <autoFilter ref="B4:I19"/>
  <tableColumns count="8">
    <tableColumn id="9" name="産業大分類" totalsRowLabel="合計" totalsRowDxfId="867"/>
    <tableColumn id="10" name="総数／事業所数" totalsRowFunction="custom" totalsRowDxfId="866" dataCellStyle="桁区切り">
      <totalsRowFormula>SUM(LTBL_14000[総数／事業所数])</totalsRowFormula>
    </tableColumn>
    <tableColumn id="11" name="総数／構成比" dataDxfId="865"/>
    <tableColumn id="12" name="個人／事業所数" totalsRowFunction="sum" totalsRowDxfId="864" dataCellStyle="桁区切り"/>
    <tableColumn id="13" name="個人／構成比" dataDxfId="863"/>
    <tableColumn id="14" name="法人／事業所数" totalsRowFunction="sum" totalsRowDxfId="862" dataCellStyle="桁区切り"/>
    <tableColumn id="15" name="法人／構成比" dataDxfId="861"/>
    <tableColumn id="16" name="法人以外の団体／事業所数" totalsRowFunction="sum" totalsRowDxfId="860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14000" displayName="LABTBL_14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14000" displayName="M_TABLE_ti.14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59"/>
    <tableColumn id="12" name="個人／事業所数" dataCellStyle="桁区切り"/>
    <tableColumn id="13" name="個人／構成比" dataDxfId="858"/>
    <tableColumn id="14" name="法人／事業所数" dataCellStyle="桁区切り"/>
    <tableColumn id="15" name="法人／構成比" dataDxfId="8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14000" displayName="S_TABLE_ti.14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56"/>
    <tableColumn id="12" name="個人／事業所数" dataCellStyle="桁区切り"/>
    <tableColumn id="13" name="個人／構成比" dataDxfId="855"/>
    <tableColumn id="14" name="法人／事業所数" dataCellStyle="桁区切り"/>
    <tableColumn id="15" name="法人／構成比" dataDxfId="8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14100" displayName="LTBL_14100" ref="B4:I20" totalsRowCount="1">
  <autoFilter ref="B4:I19"/>
  <tableColumns count="8">
    <tableColumn id="9" name="産業大分類" totalsRowLabel="合計" totalsRowDxfId="853"/>
    <tableColumn id="10" name="総数／事業所数" totalsRowFunction="custom" totalsRowDxfId="852" dataCellStyle="桁区切り">
      <totalsRowFormula>SUM(LTBL_14100[総数／事業所数])</totalsRowFormula>
    </tableColumn>
    <tableColumn id="11" name="総数／構成比" dataDxfId="851"/>
    <tableColumn id="12" name="個人／事業所数" totalsRowFunction="sum" totalsRowDxfId="850" dataCellStyle="桁区切り"/>
    <tableColumn id="13" name="個人／構成比" dataDxfId="849"/>
    <tableColumn id="14" name="法人／事業所数" totalsRowFunction="sum" totalsRowDxfId="848" dataCellStyle="桁区切り"/>
    <tableColumn id="15" name="法人／構成比" dataDxfId="847"/>
    <tableColumn id="16" name="法人以外の団体／事業所数" totalsRowFunction="sum" totalsRowDxfId="846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14100" displayName="LABTBL_141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14100" displayName="M_TABLE_ti.141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45"/>
    <tableColumn id="12" name="個人／事業所数" dataCellStyle="桁区切り"/>
    <tableColumn id="13" name="個人／構成比" dataDxfId="844"/>
    <tableColumn id="14" name="法人／事業所数" dataCellStyle="桁区切り"/>
    <tableColumn id="15" name="法人／構成比" dataDxfId="8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14100" displayName="S_TABLE_ti.141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42"/>
    <tableColumn id="12" name="個人／事業所数" dataCellStyle="桁区切り"/>
    <tableColumn id="13" name="個人／構成比" dataDxfId="841"/>
    <tableColumn id="14" name="法人／事業所数" dataCellStyle="桁区切り"/>
    <tableColumn id="15" name="法人／構成比" dataDxfId="8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14101" displayName="LTBL_14101" ref="B4:I20" totalsRowCount="1">
  <autoFilter ref="B4:I19"/>
  <tableColumns count="8">
    <tableColumn id="9" name="産業大分類" totalsRowLabel="合計" totalsRowDxfId="839"/>
    <tableColumn id="10" name="総数／事業所数" totalsRowFunction="custom" totalsRowDxfId="838" dataCellStyle="桁区切り">
      <totalsRowFormula>SUM(LTBL_14101[総数／事業所数])</totalsRowFormula>
    </tableColumn>
    <tableColumn id="11" name="総数／構成比" dataDxfId="837"/>
    <tableColumn id="12" name="個人／事業所数" totalsRowFunction="sum" totalsRowDxfId="836" dataCellStyle="桁区切り"/>
    <tableColumn id="13" name="個人／構成比" dataDxfId="835"/>
    <tableColumn id="14" name="法人／事業所数" totalsRowFunction="sum" totalsRowDxfId="834" dataCellStyle="桁区切り"/>
    <tableColumn id="15" name="法人／構成比" dataDxfId="833"/>
    <tableColumn id="16" name="法人以外の団体／事業所数" totalsRowFunction="sum" totalsRowDxfId="832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14101" displayName="LABTBL_141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14101" displayName="M_TABLE_ti.141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31"/>
    <tableColumn id="12" name="個人／事業所数" dataCellStyle="桁区切り"/>
    <tableColumn id="13" name="個人／構成比" dataDxfId="830"/>
    <tableColumn id="14" name="法人／事業所数" dataCellStyle="桁区切り"/>
    <tableColumn id="15" name="法人／構成比" dataDxfId="8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14101" displayName="S_TABLE_ti.141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28"/>
    <tableColumn id="12" name="個人／事業所数" dataCellStyle="桁区切り"/>
    <tableColumn id="13" name="個人／構成比" dataDxfId="827"/>
    <tableColumn id="14" name="法人／事業所数" dataCellStyle="桁区切り"/>
    <tableColumn id="15" name="法人／構成比" dataDxfId="8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14102" displayName="LTBL_14102" ref="B4:I20" totalsRowCount="1">
  <autoFilter ref="B4:I19"/>
  <tableColumns count="8">
    <tableColumn id="9" name="産業大分類" totalsRowLabel="合計" totalsRowDxfId="825"/>
    <tableColumn id="10" name="総数／事業所数" totalsRowFunction="custom" totalsRowDxfId="824" dataCellStyle="桁区切り">
      <totalsRowFormula>SUM(LTBL_14102[総数／事業所数])</totalsRowFormula>
    </tableColumn>
    <tableColumn id="11" name="総数／構成比" dataDxfId="823"/>
    <tableColumn id="12" name="個人／事業所数" totalsRowFunction="sum" totalsRowDxfId="822" dataCellStyle="桁区切り"/>
    <tableColumn id="13" name="個人／構成比" dataDxfId="821"/>
    <tableColumn id="14" name="法人／事業所数" totalsRowFunction="sum" totalsRowDxfId="820" dataCellStyle="桁区切り"/>
    <tableColumn id="15" name="法人／構成比" dataDxfId="819"/>
    <tableColumn id="16" name="法人以外の団体／事業所数" totalsRowFunction="sum" totalsRowDxfId="818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14102" displayName="LABTBL_141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14102" displayName="M_TABLE_ti.141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17"/>
    <tableColumn id="12" name="個人／事業所数" dataCellStyle="桁区切り"/>
    <tableColumn id="13" name="個人／構成比" dataDxfId="816"/>
    <tableColumn id="14" name="法人／事業所数" dataCellStyle="桁区切り"/>
    <tableColumn id="15" name="法人／構成比" dataDxfId="8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14102" displayName="S_TABLE_ti.141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814"/>
    <tableColumn id="12" name="個人／事業所数" dataCellStyle="桁区切り"/>
    <tableColumn id="13" name="個人／構成比" dataDxfId="813"/>
    <tableColumn id="14" name="法人／事業所数" dataCellStyle="桁区切り"/>
    <tableColumn id="15" name="法人／構成比" dataDxfId="8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14103" displayName="LTBL_14103" ref="B4:I20" totalsRowCount="1">
  <autoFilter ref="B4:I19"/>
  <tableColumns count="8">
    <tableColumn id="9" name="産業大分類" totalsRowLabel="合計" totalsRowDxfId="811"/>
    <tableColumn id="10" name="総数／事業所数" totalsRowFunction="custom" totalsRowDxfId="810" dataCellStyle="桁区切り">
      <totalsRowFormula>SUM(LTBL_14103[総数／事業所数])</totalsRowFormula>
    </tableColumn>
    <tableColumn id="11" name="総数／構成比" dataDxfId="809"/>
    <tableColumn id="12" name="個人／事業所数" totalsRowFunction="sum" totalsRowDxfId="808" dataCellStyle="桁区切り"/>
    <tableColumn id="13" name="個人／構成比" dataDxfId="807"/>
    <tableColumn id="14" name="法人／事業所数" totalsRowFunction="sum" totalsRowDxfId="806" dataCellStyle="桁区切り"/>
    <tableColumn id="15" name="法人／構成比" dataDxfId="805"/>
    <tableColumn id="16" name="法人以外の団体／事業所数" totalsRowFunction="sum" totalsRowDxfId="804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14103" displayName="LABTBL_141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14103" displayName="M_TABLE_ti.141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03"/>
    <tableColumn id="12" name="個人／事業所数" dataCellStyle="桁区切り"/>
    <tableColumn id="13" name="個人／構成比" dataDxfId="802"/>
    <tableColumn id="14" name="法人／事業所数" dataCellStyle="桁区切り"/>
    <tableColumn id="15" name="法人／構成比" dataDxfId="8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14103" displayName="S_TABLE_ti.141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800"/>
    <tableColumn id="12" name="個人／事業所数" dataCellStyle="桁区切り"/>
    <tableColumn id="13" name="個人／構成比" dataDxfId="799"/>
    <tableColumn id="14" name="法人／事業所数" dataCellStyle="桁区切り"/>
    <tableColumn id="15" name="法人／構成比" dataDxfId="7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14104" displayName="LTBL_14104" ref="B4:I20" totalsRowCount="1">
  <autoFilter ref="B4:I19"/>
  <tableColumns count="8">
    <tableColumn id="9" name="産業大分類" totalsRowLabel="合計" totalsRowDxfId="797"/>
    <tableColumn id="10" name="総数／事業所数" totalsRowFunction="custom" totalsRowDxfId="796" dataCellStyle="桁区切り">
      <totalsRowFormula>SUM(LTBL_14104[総数／事業所数])</totalsRowFormula>
    </tableColumn>
    <tableColumn id="11" name="総数／構成比" dataDxfId="795"/>
    <tableColumn id="12" name="個人／事業所数" totalsRowFunction="sum" totalsRowDxfId="794" dataCellStyle="桁区切り"/>
    <tableColumn id="13" name="個人／構成比" dataDxfId="793"/>
    <tableColumn id="14" name="法人／事業所数" totalsRowFunction="sum" totalsRowDxfId="792" dataCellStyle="桁区切り"/>
    <tableColumn id="15" name="法人／構成比" dataDxfId="791"/>
    <tableColumn id="16" name="法人以外の団体／事業所数" totalsRowFunction="sum" totalsRowDxfId="790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14104" displayName="LABTBL_141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14104" displayName="M_TABLE_ti.141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89"/>
    <tableColumn id="12" name="個人／事業所数" dataCellStyle="桁区切り"/>
    <tableColumn id="13" name="個人／構成比" dataDxfId="788"/>
    <tableColumn id="14" name="法人／事業所数" dataCellStyle="桁区切り"/>
    <tableColumn id="15" name="法人／構成比" dataDxfId="7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14104" displayName="S_TABLE_ti.141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86"/>
    <tableColumn id="12" name="個人／事業所数" dataCellStyle="桁区切り"/>
    <tableColumn id="13" name="個人／構成比" dataDxfId="785"/>
    <tableColumn id="14" name="法人／事業所数" dataCellStyle="桁区切り"/>
    <tableColumn id="15" name="法人／構成比" dataDxfId="7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14105" displayName="LTBL_14105" ref="B4:I20" totalsRowCount="1">
  <autoFilter ref="B4:I19"/>
  <tableColumns count="8">
    <tableColumn id="9" name="産業大分類" totalsRowLabel="合計" totalsRowDxfId="783"/>
    <tableColumn id="10" name="総数／事業所数" totalsRowFunction="custom" totalsRowDxfId="782" dataCellStyle="桁区切り">
      <totalsRowFormula>SUM(LTBL_14105[総数／事業所数])</totalsRowFormula>
    </tableColumn>
    <tableColumn id="11" name="総数／構成比" dataDxfId="781"/>
    <tableColumn id="12" name="個人／事業所数" totalsRowFunction="sum" totalsRowDxfId="780" dataCellStyle="桁区切り"/>
    <tableColumn id="13" name="個人／構成比" dataDxfId="779"/>
    <tableColumn id="14" name="法人／事業所数" totalsRowFunction="sum" totalsRowDxfId="778" dataCellStyle="桁区切り"/>
    <tableColumn id="15" name="法人／構成比" dataDxfId="777"/>
    <tableColumn id="16" name="法人以外の団体／事業所数" totalsRowFunction="sum" totalsRowDxfId="776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14105" displayName="LABTBL_141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14105" displayName="M_TABLE_ti.141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75"/>
    <tableColumn id="12" name="個人／事業所数" dataCellStyle="桁区切り"/>
    <tableColumn id="13" name="個人／構成比" dataDxfId="774"/>
    <tableColumn id="14" name="法人／事業所数" dataCellStyle="桁区切り"/>
    <tableColumn id="15" name="法人／構成比" dataDxfId="7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14105" displayName="S_TABLE_ti.141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72"/>
    <tableColumn id="12" name="個人／事業所数" dataCellStyle="桁区切り"/>
    <tableColumn id="13" name="個人／構成比" dataDxfId="771"/>
    <tableColumn id="14" name="法人／事業所数" dataCellStyle="桁区切り"/>
    <tableColumn id="15" name="法人／構成比" dataDxfId="7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14106" displayName="LTBL_14106" ref="B4:I20" totalsRowCount="1">
  <autoFilter ref="B4:I19"/>
  <tableColumns count="8">
    <tableColumn id="9" name="産業大分類" totalsRowLabel="合計" totalsRowDxfId="769"/>
    <tableColumn id="10" name="総数／事業所数" totalsRowFunction="custom" totalsRowDxfId="768" dataCellStyle="桁区切り">
      <totalsRowFormula>SUM(LTBL_14106[総数／事業所数])</totalsRowFormula>
    </tableColumn>
    <tableColumn id="11" name="総数／構成比" dataDxfId="767"/>
    <tableColumn id="12" name="個人／事業所数" totalsRowFunction="sum" totalsRowDxfId="766" dataCellStyle="桁区切り"/>
    <tableColumn id="13" name="個人／構成比" dataDxfId="765"/>
    <tableColumn id="14" name="法人／事業所数" totalsRowFunction="sum" totalsRowDxfId="764" dataCellStyle="桁区切り"/>
    <tableColumn id="15" name="法人／構成比" dataDxfId="763"/>
    <tableColumn id="16" name="法人以外の団体／事業所数" totalsRowFunction="sum" totalsRowDxfId="762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14106" displayName="LABTBL_141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14106" displayName="M_TABLE_ti.141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61"/>
    <tableColumn id="12" name="個人／事業所数" dataCellStyle="桁区切り"/>
    <tableColumn id="13" name="個人／構成比" dataDxfId="760"/>
    <tableColumn id="14" name="法人／事業所数" dataCellStyle="桁区切り"/>
    <tableColumn id="15" name="法人／構成比" dataDxfId="7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14106" displayName="S_TABLE_ti.141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58"/>
    <tableColumn id="12" name="個人／事業所数" dataCellStyle="桁区切り"/>
    <tableColumn id="13" name="個人／構成比" dataDxfId="757"/>
    <tableColumn id="14" name="法人／事業所数" dataCellStyle="桁区切り"/>
    <tableColumn id="15" name="法人／構成比" dataDxfId="7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14107" displayName="LTBL_14107" ref="B4:I20" totalsRowCount="1">
  <autoFilter ref="B4:I19"/>
  <tableColumns count="8">
    <tableColumn id="9" name="産業大分類" totalsRowLabel="合計" totalsRowDxfId="755"/>
    <tableColumn id="10" name="総数／事業所数" totalsRowFunction="custom" totalsRowDxfId="754" dataCellStyle="桁区切り">
      <totalsRowFormula>SUM(LTBL_14107[総数／事業所数])</totalsRowFormula>
    </tableColumn>
    <tableColumn id="11" name="総数／構成比" dataDxfId="753"/>
    <tableColumn id="12" name="個人／事業所数" totalsRowFunction="sum" totalsRowDxfId="752" dataCellStyle="桁区切り"/>
    <tableColumn id="13" name="個人／構成比" dataDxfId="751"/>
    <tableColumn id="14" name="法人／事業所数" totalsRowFunction="sum" totalsRowDxfId="750" dataCellStyle="桁区切り"/>
    <tableColumn id="15" name="法人／構成比" dataDxfId="749"/>
    <tableColumn id="16" name="法人以外の団体／事業所数" totalsRowFunction="sum" totalsRowDxfId="748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14107" displayName="LABTBL_141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14107" displayName="M_TABLE_ti.1410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747"/>
    <tableColumn id="12" name="個人／事業所数" dataCellStyle="桁区切り"/>
    <tableColumn id="13" name="個人／構成比" dataDxfId="746"/>
    <tableColumn id="14" name="法人／事業所数" dataCellStyle="桁区切り"/>
    <tableColumn id="15" name="法人／構成比" dataDxfId="7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14107" displayName="S_TABLE_ti.14107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744"/>
    <tableColumn id="12" name="個人／事業所数" dataCellStyle="桁区切り"/>
    <tableColumn id="13" name="個人／構成比" dataDxfId="743"/>
    <tableColumn id="14" name="法人／事業所数" dataCellStyle="桁区切り"/>
    <tableColumn id="15" name="法人／構成比" dataDxfId="7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14108" displayName="LTBL_14108" ref="B4:I20" totalsRowCount="1">
  <autoFilter ref="B4:I19"/>
  <tableColumns count="8">
    <tableColumn id="9" name="産業大分類" totalsRowLabel="合計" totalsRowDxfId="741"/>
    <tableColumn id="10" name="総数／事業所数" totalsRowFunction="custom" totalsRowDxfId="740" dataCellStyle="桁区切り">
      <totalsRowFormula>SUM(LTBL_14108[総数／事業所数])</totalsRowFormula>
    </tableColumn>
    <tableColumn id="11" name="総数／構成比" dataDxfId="739"/>
    <tableColumn id="12" name="個人／事業所数" totalsRowFunction="sum" totalsRowDxfId="738" dataCellStyle="桁区切り"/>
    <tableColumn id="13" name="個人／構成比" dataDxfId="737"/>
    <tableColumn id="14" name="法人／事業所数" totalsRowFunction="sum" totalsRowDxfId="736" dataCellStyle="桁区切り"/>
    <tableColumn id="15" name="法人／構成比" dataDxfId="735"/>
    <tableColumn id="16" name="法人以外の団体／事業所数" totalsRowFunction="sum" totalsRowDxfId="734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14108" displayName="LABTBL_141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14108" displayName="M_TABLE_ti.141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33"/>
    <tableColumn id="12" name="個人／事業所数" dataCellStyle="桁区切り"/>
    <tableColumn id="13" name="個人／構成比" dataDxfId="732"/>
    <tableColumn id="14" name="法人／事業所数" dataCellStyle="桁区切り"/>
    <tableColumn id="15" name="法人／構成比" dataDxfId="7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14108" displayName="S_TABLE_ti.141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30"/>
    <tableColumn id="12" name="個人／事業所数" dataCellStyle="桁区切り"/>
    <tableColumn id="13" name="個人／構成比" dataDxfId="729"/>
    <tableColumn id="14" name="法人／事業所数" dataCellStyle="桁区切り"/>
    <tableColumn id="15" name="法人／構成比" dataDxfId="7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14109" displayName="LTBL_14109" ref="B4:I20" totalsRowCount="1">
  <autoFilter ref="B4:I19"/>
  <tableColumns count="8">
    <tableColumn id="9" name="産業大分類" totalsRowLabel="合計" totalsRowDxfId="727"/>
    <tableColumn id="10" name="総数／事業所数" totalsRowFunction="custom" totalsRowDxfId="726" dataCellStyle="桁区切り">
      <totalsRowFormula>SUM(LTBL_14109[総数／事業所数])</totalsRowFormula>
    </tableColumn>
    <tableColumn id="11" name="総数／構成比" dataDxfId="725"/>
    <tableColumn id="12" name="個人／事業所数" totalsRowFunction="sum" totalsRowDxfId="724" dataCellStyle="桁区切り"/>
    <tableColumn id="13" name="個人／構成比" dataDxfId="723"/>
    <tableColumn id="14" name="法人／事業所数" totalsRowFunction="sum" totalsRowDxfId="722" dataCellStyle="桁区切り"/>
    <tableColumn id="15" name="法人／構成比" dataDxfId="721"/>
    <tableColumn id="16" name="法人以外の団体／事業所数" totalsRowFunction="sum" totalsRowDxfId="720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14109" displayName="LABTBL_141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14109" displayName="M_TABLE_ti.14109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719"/>
    <tableColumn id="12" name="個人／事業所数" dataCellStyle="桁区切り"/>
    <tableColumn id="13" name="個人／構成比" dataDxfId="718"/>
    <tableColumn id="14" name="法人／事業所数" dataCellStyle="桁区切り"/>
    <tableColumn id="15" name="法人／構成比" dataDxfId="7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14109" displayName="S_TABLE_ti.14109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716"/>
    <tableColumn id="12" name="個人／事業所数" dataCellStyle="桁区切り"/>
    <tableColumn id="13" name="個人／構成比" dataDxfId="715"/>
    <tableColumn id="14" name="法人／事業所数" dataCellStyle="桁区切り"/>
    <tableColumn id="15" name="法人／構成比" dataDxfId="7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14110" displayName="LTBL_14110" ref="B4:I20" totalsRowCount="1">
  <autoFilter ref="B4:I19"/>
  <tableColumns count="8">
    <tableColumn id="9" name="産業大分類" totalsRowLabel="合計" totalsRowDxfId="713"/>
    <tableColumn id="10" name="総数／事業所数" totalsRowFunction="custom" totalsRowDxfId="712" dataCellStyle="桁区切り">
      <totalsRowFormula>SUM(LTBL_14110[総数／事業所数])</totalsRowFormula>
    </tableColumn>
    <tableColumn id="11" name="総数／構成比" dataDxfId="711"/>
    <tableColumn id="12" name="個人／事業所数" totalsRowFunction="sum" totalsRowDxfId="710" dataCellStyle="桁区切り"/>
    <tableColumn id="13" name="個人／構成比" dataDxfId="709"/>
    <tableColumn id="14" name="法人／事業所数" totalsRowFunction="sum" totalsRowDxfId="708" dataCellStyle="桁区切り"/>
    <tableColumn id="15" name="法人／構成比" dataDxfId="707"/>
    <tableColumn id="16" name="法人以外の団体／事業所数" totalsRowFunction="sum" totalsRowDxfId="706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14110" displayName="LABTBL_141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14110" displayName="M_TABLE_ti.141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05"/>
    <tableColumn id="12" name="個人／事業所数" dataCellStyle="桁区切り"/>
    <tableColumn id="13" name="個人／構成比" dataDxfId="704"/>
    <tableColumn id="14" name="法人／事業所数" dataCellStyle="桁区切り"/>
    <tableColumn id="15" name="法人／構成比" dataDxfId="70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14110" displayName="S_TABLE_ti.1411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02"/>
    <tableColumn id="12" name="個人／事業所数" dataCellStyle="桁区切り"/>
    <tableColumn id="13" name="個人／構成比" dataDxfId="701"/>
    <tableColumn id="14" name="法人／事業所数" dataCellStyle="桁区切り"/>
    <tableColumn id="15" name="法人／構成比" dataDxfId="70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14111" displayName="LTBL_14111" ref="B4:I20" totalsRowCount="1">
  <autoFilter ref="B4:I19"/>
  <tableColumns count="8">
    <tableColumn id="9" name="産業大分類" totalsRowLabel="合計" totalsRowDxfId="699"/>
    <tableColumn id="10" name="総数／事業所数" totalsRowFunction="custom" totalsRowDxfId="698" dataCellStyle="桁区切り">
      <totalsRowFormula>SUM(LTBL_14111[総数／事業所数])</totalsRowFormula>
    </tableColumn>
    <tableColumn id="11" name="総数／構成比" dataDxfId="697"/>
    <tableColumn id="12" name="個人／事業所数" totalsRowFunction="sum" totalsRowDxfId="696" dataCellStyle="桁区切り"/>
    <tableColumn id="13" name="個人／構成比" dataDxfId="695"/>
    <tableColumn id="14" name="法人／事業所数" totalsRowFunction="sum" totalsRowDxfId="694" dataCellStyle="桁区切り"/>
    <tableColumn id="15" name="法人／構成比" dataDxfId="693"/>
    <tableColumn id="16" name="法人以外の団体／事業所数" totalsRowFunction="sum" totalsRowDxfId="692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14111" displayName="LABTBL_141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14111" displayName="M_TABLE_ti.1411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91"/>
    <tableColumn id="12" name="個人／事業所数" dataCellStyle="桁区切り"/>
    <tableColumn id="13" name="個人／構成比" dataDxfId="690"/>
    <tableColumn id="14" name="法人／事業所数" dataCellStyle="桁区切り"/>
    <tableColumn id="15" name="法人／構成比" dataDxfId="68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14111" displayName="S_TABLE_ti.1411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688"/>
    <tableColumn id="12" name="個人／事業所数" dataCellStyle="桁区切り"/>
    <tableColumn id="13" name="個人／構成比" dataDxfId="687"/>
    <tableColumn id="14" name="法人／事業所数" dataCellStyle="桁区切り"/>
    <tableColumn id="15" name="法人／構成比" dataDxfId="68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14112" displayName="LTBL_14112" ref="B4:I20" totalsRowCount="1">
  <autoFilter ref="B4:I19"/>
  <tableColumns count="8">
    <tableColumn id="9" name="産業大分類" totalsRowLabel="合計" totalsRowDxfId="685"/>
    <tableColumn id="10" name="総数／事業所数" totalsRowFunction="custom" totalsRowDxfId="684" dataCellStyle="桁区切り">
      <totalsRowFormula>SUM(LTBL_14112[総数／事業所数])</totalsRowFormula>
    </tableColumn>
    <tableColumn id="11" name="総数／構成比" dataDxfId="683"/>
    <tableColumn id="12" name="個人／事業所数" totalsRowFunction="sum" totalsRowDxfId="682" dataCellStyle="桁区切り"/>
    <tableColumn id="13" name="個人／構成比" dataDxfId="681"/>
    <tableColumn id="14" name="法人／事業所数" totalsRowFunction="sum" totalsRowDxfId="680" dataCellStyle="桁区切り"/>
    <tableColumn id="15" name="法人／構成比" dataDxfId="679"/>
    <tableColumn id="16" name="法人以外の団体／事業所数" totalsRowFunction="sum" totalsRowDxfId="678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14112" displayName="LABTBL_141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14112" displayName="M_TABLE_ti.141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77"/>
    <tableColumn id="12" name="個人／事業所数" dataCellStyle="桁区切り"/>
    <tableColumn id="13" name="個人／構成比" dataDxfId="676"/>
    <tableColumn id="14" name="法人／事業所数" dataCellStyle="桁区切り"/>
    <tableColumn id="15" name="法人／構成比" dataDxfId="67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14112" displayName="S_TABLE_ti.141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74"/>
    <tableColumn id="12" name="個人／事業所数" dataCellStyle="桁区切り"/>
    <tableColumn id="13" name="個人／構成比" dataDxfId="673"/>
    <tableColumn id="14" name="法人／事業所数" dataCellStyle="桁区切り"/>
    <tableColumn id="15" name="法人／構成比" dataDxfId="67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14113" displayName="LTBL_14113" ref="B4:I20" totalsRowCount="1">
  <autoFilter ref="B4:I19"/>
  <tableColumns count="8">
    <tableColumn id="9" name="産業大分類" totalsRowLabel="合計" totalsRowDxfId="671"/>
    <tableColumn id="10" name="総数／事業所数" totalsRowFunction="custom" totalsRowDxfId="670" dataCellStyle="桁区切り">
      <totalsRowFormula>SUM(LTBL_14113[総数／事業所数])</totalsRowFormula>
    </tableColumn>
    <tableColumn id="11" name="総数／構成比" dataDxfId="669"/>
    <tableColumn id="12" name="個人／事業所数" totalsRowFunction="sum" totalsRowDxfId="668" dataCellStyle="桁区切り"/>
    <tableColumn id="13" name="個人／構成比" dataDxfId="667"/>
    <tableColumn id="14" name="法人／事業所数" totalsRowFunction="sum" totalsRowDxfId="666" dataCellStyle="桁区切り"/>
    <tableColumn id="15" name="法人／構成比" dataDxfId="665"/>
    <tableColumn id="16" name="法人以外の団体／事業所数" totalsRowFunction="sum" totalsRowDxfId="664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14113" displayName="LABTBL_141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14113" displayName="M_TABLE_ti.141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63"/>
    <tableColumn id="12" name="個人／事業所数" dataCellStyle="桁区切り"/>
    <tableColumn id="13" name="個人／構成比" dataDxfId="662"/>
    <tableColumn id="14" name="法人／事業所数" dataCellStyle="桁区切り"/>
    <tableColumn id="15" name="法人／構成比" dataDxfId="66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14113" displayName="S_TABLE_ti.1411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660"/>
    <tableColumn id="12" name="個人／事業所数" dataCellStyle="桁区切り"/>
    <tableColumn id="13" name="個人／構成比" dataDxfId="659"/>
    <tableColumn id="14" name="法人／事業所数" dataCellStyle="桁区切り"/>
    <tableColumn id="15" name="法人／構成比" dataDxfId="65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14114" displayName="LTBL_14114" ref="B4:I20" totalsRowCount="1">
  <autoFilter ref="B4:I19"/>
  <tableColumns count="8">
    <tableColumn id="9" name="産業大分類" totalsRowLabel="合計" totalsRowDxfId="657"/>
    <tableColumn id="10" name="総数／事業所数" totalsRowFunction="custom" totalsRowDxfId="656" dataCellStyle="桁区切り">
      <totalsRowFormula>SUM(LTBL_14114[総数／事業所数])</totalsRowFormula>
    </tableColumn>
    <tableColumn id="11" name="総数／構成比" dataDxfId="655"/>
    <tableColumn id="12" name="個人／事業所数" totalsRowFunction="sum" totalsRowDxfId="654" dataCellStyle="桁区切り"/>
    <tableColumn id="13" name="個人／構成比" dataDxfId="653"/>
    <tableColumn id="14" name="法人／事業所数" totalsRowFunction="sum" totalsRowDxfId="652" dataCellStyle="桁区切り"/>
    <tableColumn id="15" name="法人／構成比" dataDxfId="651"/>
    <tableColumn id="16" name="法人以外の団体／事業所数" totalsRowFunction="sum" totalsRowDxfId="650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14114" displayName="LABTBL_141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14114" displayName="M_TABLE_ti.141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49"/>
    <tableColumn id="12" name="個人／事業所数" dataCellStyle="桁区切り"/>
    <tableColumn id="13" name="個人／構成比" dataDxfId="648"/>
    <tableColumn id="14" name="法人／事業所数" dataCellStyle="桁区切り"/>
    <tableColumn id="15" name="法人／構成比" dataDxfId="64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14114" displayName="S_TABLE_ti.1411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46"/>
    <tableColumn id="12" name="個人／事業所数" dataCellStyle="桁区切り"/>
    <tableColumn id="13" name="個人／構成比" dataDxfId="645"/>
    <tableColumn id="14" name="法人／事業所数" dataCellStyle="桁区切り"/>
    <tableColumn id="15" name="法人／構成比" dataDxfId="64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14115" displayName="LTBL_14115" ref="B4:I20" totalsRowCount="1">
  <autoFilter ref="B4:I19"/>
  <tableColumns count="8">
    <tableColumn id="9" name="産業大分類" totalsRowLabel="合計" totalsRowDxfId="643"/>
    <tableColumn id="10" name="総数／事業所数" totalsRowFunction="custom" totalsRowDxfId="642" dataCellStyle="桁区切り">
      <totalsRowFormula>SUM(LTBL_14115[総数／事業所数])</totalsRowFormula>
    </tableColumn>
    <tableColumn id="11" name="総数／構成比" dataDxfId="641"/>
    <tableColumn id="12" name="個人／事業所数" totalsRowFunction="sum" totalsRowDxfId="640" dataCellStyle="桁区切り"/>
    <tableColumn id="13" name="個人／構成比" dataDxfId="639"/>
    <tableColumn id="14" name="法人／事業所数" totalsRowFunction="sum" totalsRowDxfId="638" dataCellStyle="桁区切り"/>
    <tableColumn id="15" name="法人／構成比" dataDxfId="637"/>
    <tableColumn id="16" name="法人以外の団体／事業所数" totalsRowFunction="sum" totalsRowDxfId="636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14115" displayName="LABTBL_141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14115" displayName="M_TABLE_ti.1411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635"/>
    <tableColumn id="12" name="個人／事業所数" dataCellStyle="桁区切り"/>
    <tableColumn id="13" name="個人／構成比" dataDxfId="634"/>
    <tableColumn id="14" name="法人／事業所数" dataCellStyle="桁区切り"/>
    <tableColumn id="15" name="法人／構成比" dataDxfId="63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14115" displayName="S_TABLE_ti.14115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632"/>
    <tableColumn id="12" name="個人／事業所数" dataCellStyle="桁区切り"/>
    <tableColumn id="13" name="個人／構成比" dataDxfId="631"/>
    <tableColumn id="14" name="法人／事業所数" dataCellStyle="桁区切り"/>
    <tableColumn id="15" name="法人／構成比" dataDxfId="63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14116" displayName="LTBL_14116" ref="B4:I20" totalsRowCount="1">
  <autoFilter ref="B4:I19"/>
  <tableColumns count="8">
    <tableColumn id="9" name="産業大分類" totalsRowLabel="合計" totalsRowDxfId="629"/>
    <tableColumn id="10" name="総数／事業所数" totalsRowFunction="custom" totalsRowDxfId="628" dataCellStyle="桁区切り">
      <totalsRowFormula>SUM(LTBL_14116[総数／事業所数])</totalsRowFormula>
    </tableColumn>
    <tableColumn id="11" name="総数／構成比" dataDxfId="627"/>
    <tableColumn id="12" name="個人／事業所数" totalsRowFunction="sum" totalsRowDxfId="626" dataCellStyle="桁区切り"/>
    <tableColumn id="13" name="個人／構成比" dataDxfId="625"/>
    <tableColumn id="14" name="法人／事業所数" totalsRowFunction="sum" totalsRowDxfId="624" dataCellStyle="桁区切り"/>
    <tableColumn id="15" name="法人／構成比" dataDxfId="623"/>
    <tableColumn id="16" name="法人以外の団体／事業所数" totalsRowFunction="sum" totalsRowDxfId="622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14116" displayName="LABTBL_141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14116" displayName="M_TABLE_ti.14116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621"/>
    <tableColumn id="12" name="個人／事業所数" dataCellStyle="桁区切り"/>
    <tableColumn id="13" name="個人／構成比" dataDxfId="620"/>
    <tableColumn id="14" name="法人／事業所数" dataCellStyle="桁区切り"/>
    <tableColumn id="15" name="法人／構成比" dataDxfId="61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14116" displayName="S_TABLE_ti.14116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618"/>
    <tableColumn id="12" name="個人／事業所数" dataCellStyle="桁区切り"/>
    <tableColumn id="13" name="個人／構成比" dataDxfId="617"/>
    <tableColumn id="14" name="法人／事業所数" dataCellStyle="桁区切り"/>
    <tableColumn id="15" name="法人／構成比" dataDxfId="61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14117" displayName="LTBL_14117" ref="B4:I20" totalsRowCount="1">
  <autoFilter ref="B4:I19"/>
  <tableColumns count="8">
    <tableColumn id="9" name="産業大分類" totalsRowLabel="合計" totalsRowDxfId="615"/>
    <tableColumn id="10" name="総数／事業所数" totalsRowFunction="custom" totalsRowDxfId="614" dataCellStyle="桁区切り">
      <totalsRowFormula>SUM(LTBL_14117[総数／事業所数])</totalsRowFormula>
    </tableColumn>
    <tableColumn id="11" name="総数／構成比" dataDxfId="613"/>
    <tableColumn id="12" name="個人／事業所数" totalsRowFunction="sum" totalsRowDxfId="612" dataCellStyle="桁区切り"/>
    <tableColumn id="13" name="個人／構成比" dataDxfId="611"/>
    <tableColumn id="14" name="法人／事業所数" totalsRowFunction="sum" totalsRowDxfId="610" dataCellStyle="桁区切り"/>
    <tableColumn id="15" name="法人／構成比" dataDxfId="609"/>
    <tableColumn id="16" name="法人以外の団体／事業所数" totalsRowFunction="sum" totalsRowDxfId="608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14117" displayName="LABTBL_141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14117" displayName="M_TABLE_ti.1411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07"/>
    <tableColumn id="12" name="個人／事業所数" dataCellStyle="桁区切り"/>
    <tableColumn id="13" name="個人／構成比" dataDxfId="606"/>
    <tableColumn id="14" name="法人／事業所数" dataCellStyle="桁区切り"/>
    <tableColumn id="15" name="法人／構成比" dataDxfId="60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14117" displayName="S_TABLE_ti.1411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604"/>
    <tableColumn id="12" name="個人／事業所数" dataCellStyle="桁区切り"/>
    <tableColumn id="13" name="個人／構成比" dataDxfId="603"/>
    <tableColumn id="14" name="法人／事業所数" dataCellStyle="桁区切り"/>
    <tableColumn id="15" name="法人／構成比" dataDxfId="60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14118" displayName="LTBL_14118" ref="B4:I20" totalsRowCount="1">
  <autoFilter ref="B4:I19"/>
  <tableColumns count="8">
    <tableColumn id="9" name="産業大分類" totalsRowLabel="合計" totalsRowDxfId="601"/>
    <tableColumn id="10" name="総数／事業所数" totalsRowFunction="custom" totalsRowDxfId="600" dataCellStyle="桁区切り">
      <totalsRowFormula>SUM(LTBL_14118[総数／事業所数])</totalsRowFormula>
    </tableColumn>
    <tableColumn id="11" name="総数／構成比" dataDxfId="599"/>
    <tableColumn id="12" name="個人／事業所数" totalsRowFunction="sum" totalsRowDxfId="598" dataCellStyle="桁区切り"/>
    <tableColumn id="13" name="個人／構成比" dataDxfId="597"/>
    <tableColumn id="14" name="法人／事業所数" totalsRowFunction="sum" totalsRowDxfId="596" dataCellStyle="桁区切り"/>
    <tableColumn id="15" name="法人／構成比" dataDxfId="595"/>
    <tableColumn id="16" name="法人以外の団体／事業所数" totalsRowFunction="sum" totalsRowDxfId="594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14118" displayName="LABTBL_141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14118" displayName="M_TABLE_ti.1411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93"/>
    <tableColumn id="12" name="個人／事業所数" dataCellStyle="桁区切り"/>
    <tableColumn id="13" name="個人／構成比" dataDxfId="592"/>
    <tableColumn id="14" name="法人／事業所数" dataCellStyle="桁区切り"/>
    <tableColumn id="15" name="法人／構成比" dataDxfId="59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14118" displayName="S_TABLE_ti.1411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90"/>
    <tableColumn id="12" name="個人／事業所数" dataCellStyle="桁区切り"/>
    <tableColumn id="13" name="個人／構成比" dataDxfId="589"/>
    <tableColumn id="14" name="法人／事業所数" dataCellStyle="桁区切り"/>
    <tableColumn id="15" name="法人／構成比" dataDxfId="58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14130" displayName="LTBL_14130" ref="B4:I20" totalsRowCount="1">
  <autoFilter ref="B4:I19"/>
  <tableColumns count="8">
    <tableColumn id="9" name="産業大分類" totalsRowLabel="合計" totalsRowDxfId="587"/>
    <tableColumn id="10" name="総数／事業所数" totalsRowFunction="custom" totalsRowDxfId="586" dataCellStyle="桁区切り">
      <totalsRowFormula>SUM(LTBL_14130[総数／事業所数])</totalsRowFormula>
    </tableColumn>
    <tableColumn id="11" name="総数／構成比" dataDxfId="585"/>
    <tableColumn id="12" name="個人／事業所数" totalsRowFunction="sum" totalsRowDxfId="584" dataCellStyle="桁区切り"/>
    <tableColumn id="13" name="個人／構成比" dataDxfId="583"/>
    <tableColumn id="14" name="法人／事業所数" totalsRowFunction="sum" totalsRowDxfId="582" dataCellStyle="桁区切り"/>
    <tableColumn id="15" name="法人／構成比" dataDxfId="581"/>
    <tableColumn id="16" name="法人以外の団体／事業所数" totalsRowFunction="sum" totalsRowDxfId="580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14130" displayName="LABTBL_1413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14130" displayName="M_TABLE_ti.1413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79"/>
    <tableColumn id="12" name="個人／事業所数" dataCellStyle="桁区切り"/>
    <tableColumn id="13" name="個人／構成比" dataDxfId="578"/>
    <tableColumn id="14" name="法人／事業所数" dataCellStyle="桁区切り"/>
    <tableColumn id="15" name="法人／構成比" dataDxfId="57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14130" displayName="S_TABLE_ti.1413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76"/>
    <tableColumn id="12" name="個人／事業所数" dataCellStyle="桁区切り"/>
    <tableColumn id="13" name="個人／構成比" dataDxfId="575"/>
    <tableColumn id="14" name="法人／事業所数" dataCellStyle="桁区切り"/>
    <tableColumn id="15" name="法人／構成比" dataDxfId="57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14131" displayName="LTBL_14131" ref="B4:I20" totalsRowCount="1">
  <autoFilter ref="B4:I19"/>
  <tableColumns count="8">
    <tableColumn id="9" name="産業大分類" totalsRowLabel="合計" totalsRowDxfId="573"/>
    <tableColumn id="10" name="総数／事業所数" totalsRowFunction="custom" totalsRowDxfId="572" dataCellStyle="桁区切り">
      <totalsRowFormula>SUM(LTBL_14131[総数／事業所数])</totalsRowFormula>
    </tableColumn>
    <tableColumn id="11" name="総数／構成比" dataDxfId="571"/>
    <tableColumn id="12" name="個人／事業所数" totalsRowFunction="sum" totalsRowDxfId="570" dataCellStyle="桁区切り"/>
    <tableColumn id="13" name="個人／構成比" dataDxfId="569"/>
    <tableColumn id="14" name="法人／事業所数" totalsRowFunction="sum" totalsRowDxfId="568" dataCellStyle="桁区切り"/>
    <tableColumn id="15" name="法人／構成比" dataDxfId="567"/>
    <tableColumn id="16" name="法人以外の団体／事業所数" totalsRowFunction="sum" totalsRowDxfId="566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14131" displayName="LABTBL_1413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14131" displayName="M_TABLE_ti.1413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65"/>
    <tableColumn id="12" name="個人／事業所数" dataCellStyle="桁区切り"/>
    <tableColumn id="13" name="個人／構成比" dataDxfId="564"/>
    <tableColumn id="14" name="法人／事業所数" dataCellStyle="桁区切り"/>
    <tableColumn id="15" name="法人／構成比" dataDxfId="56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14131" displayName="S_TABLE_ti.1413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62"/>
    <tableColumn id="12" name="個人／事業所数" dataCellStyle="桁区切り"/>
    <tableColumn id="13" name="個人／構成比" dataDxfId="561"/>
    <tableColumn id="14" name="法人／事業所数" dataCellStyle="桁区切り"/>
    <tableColumn id="15" name="法人／構成比" dataDxfId="56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14132" displayName="LTBL_14132" ref="B4:I20" totalsRowCount="1">
  <autoFilter ref="B4:I19"/>
  <tableColumns count="8">
    <tableColumn id="9" name="産業大分類" totalsRowLabel="合計" totalsRowDxfId="559"/>
    <tableColumn id="10" name="総数／事業所数" totalsRowFunction="custom" totalsRowDxfId="558" dataCellStyle="桁区切り">
      <totalsRowFormula>SUM(LTBL_14132[総数／事業所数])</totalsRowFormula>
    </tableColumn>
    <tableColumn id="11" name="総数／構成比" dataDxfId="557"/>
    <tableColumn id="12" name="個人／事業所数" totalsRowFunction="sum" totalsRowDxfId="556" dataCellStyle="桁区切り"/>
    <tableColumn id="13" name="個人／構成比" dataDxfId="555"/>
    <tableColumn id="14" name="法人／事業所数" totalsRowFunction="sum" totalsRowDxfId="554" dataCellStyle="桁区切り"/>
    <tableColumn id="15" name="法人／構成比" dataDxfId="553"/>
    <tableColumn id="16" name="法人以外の団体／事業所数" totalsRowFunction="sum" totalsRowDxfId="552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14132" displayName="LABTBL_1413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14132" displayName="M_TABLE_ti.14132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51"/>
    <tableColumn id="12" name="個人／事業所数" dataCellStyle="桁区切り"/>
    <tableColumn id="13" name="個人／構成比" dataDxfId="550"/>
    <tableColumn id="14" name="法人／事業所数" dataCellStyle="桁区切り"/>
    <tableColumn id="15" name="法人／構成比" dataDxfId="54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14132" displayName="S_TABLE_ti.14132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548"/>
    <tableColumn id="12" name="個人／事業所数" dataCellStyle="桁区切り"/>
    <tableColumn id="13" name="個人／構成比" dataDxfId="547"/>
    <tableColumn id="14" name="法人／事業所数" dataCellStyle="桁区切り"/>
    <tableColumn id="15" name="法人／構成比" dataDxfId="54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14133" displayName="LTBL_14133" ref="B4:I20" totalsRowCount="1">
  <autoFilter ref="B4:I19"/>
  <tableColumns count="8">
    <tableColumn id="9" name="産業大分類" totalsRowLabel="合計" totalsRowDxfId="545"/>
    <tableColumn id="10" name="総数／事業所数" totalsRowFunction="custom" totalsRowDxfId="544" dataCellStyle="桁区切り">
      <totalsRowFormula>SUM(LTBL_14133[総数／事業所数])</totalsRowFormula>
    </tableColumn>
    <tableColumn id="11" name="総数／構成比" dataDxfId="543"/>
    <tableColumn id="12" name="個人／事業所数" totalsRowFunction="sum" totalsRowDxfId="542" dataCellStyle="桁区切り"/>
    <tableColumn id="13" name="個人／構成比" dataDxfId="541"/>
    <tableColumn id="14" name="法人／事業所数" totalsRowFunction="sum" totalsRowDxfId="540" dataCellStyle="桁区切り"/>
    <tableColumn id="15" name="法人／構成比" dataDxfId="539"/>
    <tableColumn id="16" name="法人以外の団体／事業所数" totalsRowFunction="sum" totalsRowDxfId="538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14133" displayName="LABTBL_1413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14133" displayName="M_TABLE_ti.1413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37"/>
    <tableColumn id="12" name="個人／事業所数" dataCellStyle="桁区切り"/>
    <tableColumn id="13" name="個人／構成比" dataDxfId="536"/>
    <tableColumn id="14" name="法人／事業所数" dataCellStyle="桁区切り"/>
    <tableColumn id="15" name="法人／構成比" dataDxfId="53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14133" displayName="S_TABLE_ti.1413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34"/>
    <tableColumn id="12" name="個人／事業所数" dataCellStyle="桁区切り"/>
    <tableColumn id="13" name="個人／構成比" dataDxfId="533"/>
    <tableColumn id="14" name="法人／事業所数" dataCellStyle="桁区切り"/>
    <tableColumn id="15" name="法人／構成比" dataDxfId="53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14134" displayName="LTBL_14134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SUM(LTBL_14134[総数／事業所数])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14134" displayName="LABTBL_1413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14134" displayName="M_TABLE_ti.1413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14134" displayName="S_TABLE_ti.14134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14135" displayName="LTBL_14135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SUM(LTBL_14135[総数／事業所数])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14135" displayName="LABTBL_1413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14135" displayName="M_TABLE_ti.1413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14135" displayName="S_TABLE_ti.1413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14136" displayName="LTBL_14136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SUM(LTBL_14136[総数／事業所数])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14136" displayName="LABTBL_1413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14136" displayName="M_TABLE_ti.14136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14136" displayName="S_TABLE_ti.14136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14137" displayName="LTBL_14137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SUM(LTBL_14137[総数／事業所数])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14137" displayName="LABTBL_1413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14137" displayName="M_TABLE_ti.1413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14137" displayName="S_TABLE_ti.1413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14150" displayName="LTBL_14150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SUM(LTBL_14150[総数／事業所数])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14150" displayName="LABTBL_1415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14150" displayName="M_TABLE_ti.1415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14150" displayName="S_TABLE_ti.1415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14151" displayName="LTBL_14151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SUM(LTBL_14151[総数／事業所数])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14151" displayName="LABTBL_1415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14151" displayName="M_TABLE_ti.1415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14151" displayName="S_TABLE_ti.1415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14152" displayName="LTBL_14152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SUM(LTBL_14152[総数／事業所数])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14152" displayName="LABTBL_1415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14152" displayName="M_TABLE_ti.1415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14152" displayName="S_TABLE_ti.1415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14153" displayName="LTBL_14153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SUM(LTBL_14153[総数／事業所数])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14153" displayName="LABTBL_1415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14153" displayName="M_TABLE_ti.1415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14153" displayName="S_TABLE_ti.1415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14201" displayName="LTBL_14201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SUM(LTBL_14201[総数／事業所数])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14201" displayName="LABTBL_14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14201" displayName="M_TABLE_ti.14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14201" displayName="S_TABLE_ti.14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14203" displayName="LTBL_14203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SUM(LTBL_14203[総数／事業所数])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14203" displayName="LABTBL_14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14203" displayName="M_TABLE_ti.14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14203" displayName="S_TABLE_ti.14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14204" displayName="LTBL_14204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SUM(LTBL_14204[総数／事業所数])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14204" displayName="LABTBL_14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14204" displayName="M_TABLE_ti.14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14204" displayName="S_TABLE_ti.14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14205" displayName="LTBL_14205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SUM(LTBL_14205[総数／事業所数])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14205" displayName="LABTBL_14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14205" displayName="M_TABLE_ti.14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14205" displayName="S_TABLE_ti.14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14206" displayName="LTBL_14206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SUM(LTBL_14206[総数／事業所数])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14206" displayName="LABTBL_14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14206" displayName="M_TABLE_ti.14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14206" displayName="S_TABLE_ti.142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14207" displayName="LTBL_14207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SUM(LTBL_14207[総数／事業所数])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14207" displayName="LABTBL_14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14207" displayName="M_TABLE_ti.14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14207" displayName="S_TABLE_ti.142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153" name="LTBL_14208" displayName="LTBL_14208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SUM(LTBL_14208[総数／事業所数])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154" name="LABTBL_14208" displayName="LABTBL_14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5.xml><?xml version="1.0" encoding="utf-8"?>
<table xmlns="http://schemas.openxmlformats.org/spreadsheetml/2006/main" id="155" name="M_TABLE_ti.14208" displayName="M_TABLE_ti.14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156" name="S_TABLE_ti.14208" displayName="S_TABLE_ti.142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157" name="LTBL_14210" displayName="LTBL_14210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SUM(LTBL_14210[総数／事業所数])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158" name="LABTBL_14210" displayName="LABTBL_14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9.xml><?xml version="1.0" encoding="utf-8"?>
<table xmlns="http://schemas.openxmlformats.org/spreadsheetml/2006/main" id="159" name="M_TABLE_ti.14210" displayName="M_TABLE_ti.14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160" name="S_TABLE_ti.14210" displayName="S_TABLE_ti.1421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161" name="LTBL_14211" displayName="LTBL_14211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SUM(LTBL_14211[総数／事業所数])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162" name="LABTBL_14211" displayName="LABTBL_14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3.xml><?xml version="1.0" encoding="utf-8"?>
<table xmlns="http://schemas.openxmlformats.org/spreadsheetml/2006/main" id="163" name="M_TABLE_ti.14211" displayName="M_TABLE_ti.14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164" name="S_TABLE_ti.14211" displayName="S_TABLE_ti.1421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165" name="LTBL_14212" displayName="LTBL_14212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SUM(LTBL_14212[総数／事業所数])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166" name="LABTBL_14212" displayName="LABTBL_14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67.xml><?xml version="1.0" encoding="utf-8"?>
<table xmlns="http://schemas.openxmlformats.org/spreadsheetml/2006/main" id="167" name="M_TABLE_ti.14212" displayName="M_TABLE_ti.14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168" name="S_TABLE_ti.14212" displayName="S_TABLE_ti.142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169" name="LTBL_14213" displayName="LTBL_14213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SUM(LTBL_14213[総数／事業所数])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170" name="LABTBL_14213" displayName="LABTBL_14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1.xml><?xml version="1.0" encoding="utf-8"?>
<table xmlns="http://schemas.openxmlformats.org/spreadsheetml/2006/main" id="171" name="M_TABLE_ti.14213" displayName="M_TABLE_ti.14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172" name="S_TABLE_ti.14213" displayName="S_TABLE_ti.1421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173" name="LTBL_14214" displayName="LTBL_14214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SUM(LTBL_14214[総数／事業所数])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174" name="LABTBL_14214" displayName="LABTBL_14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5.xml><?xml version="1.0" encoding="utf-8"?>
<table xmlns="http://schemas.openxmlformats.org/spreadsheetml/2006/main" id="175" name="M_TABLE_ti.14214" displayName="M_TABLE_ti.1421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176" name="S_TABLE_ti.14214" displayName="S_TABLE_ti.1421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177" name="LTBL_14215" displayName="LTBL_14215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SUM(LTBL_14215[総数／事業所数])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178" name="LABTBL_14215" displayName="LABTBL_14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79.xml><?xml version="1.0" encoding="utf-8"?>
<table xmlns="http://schemas.openxmlformats.org/spreadsheetml/2006/main" id="179" name="M_TABLE_ti.14215" displayName="M_TABLE_ti.14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180" name="S_TABLE_ti.14215" displayName="S_TABLE_ti.1421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id="181" name="LTBL_14216" displayName="LTBL_14216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SUM(LTBL_14216[総数／事業所数])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id="182" name="LABTBL_14216" displayName="LABTBL_14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3.xml><?xml version="1.0" encoding="utf-8"?>
<table xmlns="http://schemas.openxmlformats.org/spreadsheetml/2006/main" id="183" name="M_TABLE_ti.14216" displayName="M_TABLE_ti.14216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id="184" name="S_TABLE_ti.14216" displayName="S_TABLE_ti.14216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id="185" name="LTBL_14217" displayName="LTBL_14217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SUM(LTBL_14217[総数／事業所数])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id="186" name="LABTBL_14217" displayName="LABTBL_1421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87.xml><?xml version="1.0" encoding="utf-8"?>
<table xmlns="http://schemas.openxmlformats.org/spreadsheetml/2006/main" id="187" name="M_TABLE_ti.14217" displayName="M_TABLE_ti.1421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id="188" name="S_TABLE_ti.14217" displayName="S_TABLE_ti.14217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189" name="LTBL_14218" displayName="LTBL_14218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SUM(LTBL_14218[総数／事業所数])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190" name="LABTBL_14218" displayName="LABTBL_1421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1.xml><?xml version="1.0" encoding="utf-8"?>
<table xmlns="http://schemas.openxmlformats.org/spreadsheetml/2006/main" id="191" name="M_TABLE_ti.14218" displayName="M_TABLE_ti.1421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192" name="S_TABLE_ti.14218" displayName="S_TABLE_ti.14218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193" name="LTBL_14301" displayName="LTBL_14301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SUM(LTBL_14301[総数／事業所数])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194" name="LABTBL_14301" displayName="LABTBL_143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5.xml><?xml version="1.0" encoding="utf-8"?>
<table xmlns="http://schemas.openxmlformats.org/spreadsheetml/2006/main" id="195" name="M_TABLE_ti.14301" displayName="M_TABLE_ti.1430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196" name="S_TABLE_ti.14301" displayName="S_TABLE_ti.14301" ref="B52:I76" totalsRowShown="0">
  <autoFilter ref="B52:I76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197" name="LTBL_14321" displayName="LTBL_14321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SUM(LTBL_14321[総数／事業所数])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198" name="LABTBL_14321" displayName="LABTBL_14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9.xml><?xml version="1.0" encoding="utf-8"?>
<table xmlns="http://schemas.openxmlformats.org/spreadsheetml/2006/main" id="199" name="M_TABLE_ti.14321" displayName="M_TABLE_ti.1432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id="200" name="S_TABLE_ti.14321" displayName="S_TABLE_ti.14321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201" name="LTBL_14341" displayName="LTBL_14341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SUM(LTBL_14341[総数／事業所数])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id="202" name="LABTBL_14341" displayName="LABTBL_143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3.xml><?xml version="1.0" encoding="utf-8"?>
<table xmlns="http://schemas.openxmlformats.org/spreadsheetml/2006/main" id="203" name="M_TABLE_ti.14341" displayName="M_TABLE_ti.1434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204" name="S_TABLE_ti.14341" displayName="S_TABLE_ti.1434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205" name="LTBL_14342" displayName="LTBL_14342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SUM(LTBL_14342[総数／事業所数])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206" name="LABTBL_14342" displayName="LABTBL_143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07.xml><?xml version="1.0" encoding="utf-8"?>
<table xmlns="http://schemas.openxmlformats.org/spreadsheetml/2006/main" id="207" name="M_TABLE_ti.14342" displayName="M_TABLE_ti.1434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id="208" name="S_TABLE_ti.14342" displayName="S_TABLE_ti.14342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id="209" name="LTBL_14361" displayName="LTBL_14361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SUM(LTBL_14361[総数／事業所数])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210" name="LABTBL_14361" displayName="LABTBL_1436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1.xml><?xml version="1.0" encoding="utf-8"?>
<table xmlns="http://schemas.openxmlformats.org/spreadsheetml/2006/main" id="211" name="M_TABLE_ti.14361" displayName="M_TABLE_ti.1436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id="212" name="S_TABLE_ti.14361" displayName="S_TABLE_ti.1436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id="213" name="LTBL_14362" displayName="LTBL_14362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SUM(LTBL_14362[総数／事業所数])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id="214" name="LABTBL_14362" displayName="LABTBL_143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5.xml><?xml version="1.0" encoding="utf-8"?>
<table xmlns="http://schemas.openxmlformats.org/spreadsheetml/2006/main" id="215" name="M_TABLE_ti.14362" displayName="M_TABLE_ti.1436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id="216" name="S_TABLE_ti.14362" displayName="S_TABLE_ti.14362" ref="B53:I76" totalsRowShown="0">
  <autoFilter ref="B53:I76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id="217" name="LTBL_14363" displayName="LTBL_14363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SUM(LTBL_14363[総数／事業所数])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id="218" name="LABTBL_14363" displayName="LABTBL_1436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19.xml><?xml version="1.0" encoding="utf-8"?>
<table xmlns="http://schemas.openxmlformats.org/spreadsheetml/2006/main" id="219" name="M_TABLE_ti.14363" displayName="M_TABLE_ti.1436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id="220" name="S_TABLE_ti.14363" displayName="S_TABLE_ti.14363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221" name="LTBL_14364" displayName="LTBL_14364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SUM(LTBL_14364[総数／事業所数])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222" name="LABTBL_14364" displayName="LABTBL_143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3.xml><?xml version="1.0" encoding="utf-8"?>
<table xmlns="http://schemas.openxmlformats.org/spreadsheetml/2006/main" id="223" name="M_TABLE_ti.14364" displayName="M_TABLE_ti.14364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224" name="S_TABLE_ti.14364" displayName="S_TABLE_ti.14364" ref="B55:I80" totalsRowShown="0">
  <autoFilter ref="B55:I80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225" name="LTBL_14366" displayName="LTBL_14366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SUM(LTBL_14366[総数／事業所数])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226" name="LABTBL_14366" displayName="LABTBL_143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27.xml><?xml version="1.0" encoding="utf-8"?>
<table xmlns="http://schemas.openxmlformats.org/spreadsheetml/2006/main" id="227" name="M_TABLE_ti.14366" displayName="M_TABLE_ti.1436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228" name="S_TABLE_ti.14366" displayName="S_TABLE_ti.1436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229" name="LTBL_14382" displayName="LTBL_14382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SUM(LTBL_14382[総数／事業所数])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230" name="LABTBL_14382" displayName="LABTBL_1438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1.xml><?xml version="1.0" encoding="utf-8"?>
<table xmlns="http://schemas.openxmlformats.org/spreadsheetml/2006/main" id="231" name="M_TABLE_ti.14382" displayName="M_TABLE_ti.1438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id="232" name="S_TABLE_ti.14382" displayName="S_TABLE_ti.1438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233" name="LTBL_14383" displayName="LTBL_14383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SUM(LTBL_14383[総数／事業所数])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id="234" name="LABTBL_14383" displayName="LABTBL_143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5.xml><?xml version="1.0" encoding="utf-8"?>
<table xmlns="http://schemas.openxmlformats.org/spreadsheetml/2006/main" id="235" name="M_TABLE_ti.14383" displayName="M_TABLE_ti.14383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236" name="S_TABLE_ti.14383" displayName="S_TABLE_ti.14383" ref="B56:I80" totalsRowShown="0">
  <autoFilter ref="B56:I80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237" name="LTBL_14384" displayName="LTBL_14384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SUM(LTBL_14384[総数／事業所数])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238" name="LABTBL_14384" displayName="LABTBL_1438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9.xml><?xml version="1.0" encoding="utf-8"?>
<table xmlns="http://schemas.openxmlformats.org/spreadsheetml/2006/main" id="239" name="M_TABLE_ti.14384" displayName="M_TABLE_ti.1438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id="240" name="S_TABLE_ti.14384" displayName="S_TABLE_ti.14384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1.xml><?xml version="1.0" encoding="utf-8"?>
<table xmlns="http://schemas.openxmlformats.org/spreadsheetml/2006/main" id="241" name="LTBL_14401" displayName="LTBL_14401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SUM(LTBL_14401[総数／事業所数])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id="242" name="LABTBL_14401" displayName="LABTBL_144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3.xml><?xml version="1.0" encoding="utf-8"?>
<table xmlns="http://schemas.openxmlformats.org/spreadsheetml/2006/main" id="243" name="M_TABLE_ti.14401" displayName="M_TABLE_ti.1440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4.xml><?xml version="1.0" encoding="utf-8"?>
<table xmlns="http://schemas.openxmlformats.org/spreadsheetml/2006/main" id="244" name="S_TABLE_ti.14401" displayName="S_TABLE_ti.1440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5.xml><?xml version="1.0" encoding="utf-8"?>
<table xmlns="http://schemas.openxmlformats.org/spreadsheetml/2006/main" id="245" name="LTBL_14402" displayName="LTBL_14402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SUM(LTBL_14402[総数／事業所数])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246.xml><?xml version="1.0" encoding="utf-8"?>
<table xmlns="http://schemas.openxmlformats.org/spreadsheetml/2006/main" id="246" name="LABTBL_14402" displayName="LABTBL_14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47.xml><?xml version="1.0" encoding="utf-8"?>
<table xmlns="http://schemas.openxmlformats.org/spreadsheetml/2006/main" id="247" name="M_TABLE_ti.14402" displayName="M_TABLE_ti.14402" ref="B28:I57" totalsRowShown="0">
  <autoFilter ref="B28:I57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8.xml><?xml version="1.0" encoding="utf-8"?>
<table xmlns="http://schemas.openxmlformats.org/spreadsheetml/2006/main" id="248" name="S_TABLE_ti.14402" displayName="S_TABLE_ti.14402" ref="B60:I80" totalsRowShown="0">
  <autoFilter ref="B60:I80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4.xml"/><Relationship Id="rId2" Type="http://schemas.openxmlformats.org/officeDocument/2006/relationships/table" Target="../tables/table153.xml"/><Relationship Id="rId1" Type="http://schemas.openxmlformats.org/officeDocument/2006/relationships/printerSettings" Target="../printerSettings/printerSettings42.bin"/><Relationship Id="rId5" Type="http://schemas.openxmlformats.org/officeDocument/2006/relationships/table" Target="../tables/table156.xml"/><Relationship Id="rId4" Type="http://schemas.openxmlformats.org/officeDocument/2006/relationships/table" Target="../tables/table15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43.bin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2.xml"/><Relationship Id="rId2" Type="http://schemas.openxmlformats.org/officeDocument/2006/relationships/table" Target="../tables/table161.xml"/><Relationship Id="rId1" Type="http://schemas.openxmlformats.org/officeDocument/2006/relationships/printerSettings" Target="../printerSettings/printerSettings44.bin"/><Relationship Id="rId5" Type="http://schemas.openxmlformats.org/officeDocument/2006/relationships/table" Target="../tables/table164.xml"/><Relationship Id="rId4" Type="http://schemas.openxmlformats.org/officeDocument/2006/relationships/table" Target="../tables/table16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6.xml"/><Relationship Id="rId2" Type="http://schemas.openxmlformats.org/officeDocument/2006/relationships/table" Target="../tables/table165.xml"/><Relationship Id="rId1" Type="http://schemas.openxmlformats.org/officeDocument/2006/relationships/printerSettings" Target="../printerSettings/printerSettings45.bin"/><Relationship Id="rId5" Type="http://schemas.openxmlformats.org/officeDocument/2006/relationships/table" Target="../tables/table168.xml"/><Relationship Id="rId4" Type="http://schemas.openxmlformats.org/officeDocument/2006/relationships/table" Target="../tables/table16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46.bin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4.xml"/><Relationship Id="rId2" Type="http://schemas.openxmlformats.org/officeDocument/2006/relationships/table" Target="../tables/table173.xml"/><Relationship Id="rId1" Type="http://schemas.openxmlformats.org/officeDocument/2006/relationships/printerSettings" Target="../printerSettings/printerSettings47.bin"/><Relationship Id="rId5" Type="http://schemas.openxmlformats.org/officeDocument/2006/relationships/table" Target="../tables/table176.xml"/><Relationship Id="rId4" Type="http://schemas.openxmlformats.org/officeDocument/2006/relationships/table" Target="../tables/table175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8.xml"/><Relationship Id="rId2" Type="http://schemas.openxmlformats.org/officeDocument/2006/relationships/table" Target="../tables/table177.xml"/><Relationship Id="rId1" Type="http://schemas.openxmlformats.org/officeDocument/2006/relationships/printerSettings" Target="../printerSettings/printerSettings48.bin"/><Relationship Id="rId5" Type="http://schemas.openxmlformats.org/officeDocument/2006/relationships/table" Target="../tables/table180.xml"/><Relationship Id="rId4" Type="http://schemas.openxmlformats.org/officeDocument/2006/relationships/table" Target="../tables/table17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49.bin"/><Relationship Id="rId5" Type="http://schemas.openxmlformats.org/officeDocument/2006/relationships/table" Target="../tables/table184.xml"/><Relationship Id="rId4" Type="http://schemas.openxmlformats.org/officeDocument/2006/relationships/table" Target="../tables/table183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6.xml"/><Relationship Id="rId2" Type="http://schemas.openxmlformats.org/officeDocument/2006/relationships/table" Target="../tables/table185.xml"/><Relationship Id="rId1" Type="http://schemas.openxmlformats.org/officeDocument/2006/relationships/printerSettings" Target="../printerSettings/printerSettings50.bin"/><Relationship Id="rId5" Type="http://schemas.openxmlformats.org/officeDocument/2006/relationships/table" Target="../tables/table188.xml"/><Relationship Id="rId4" Type="http://schemas.openxmlformats.org/officeDocument/2006/relationships/table" Target="../tables/table187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0.xml"/><Relationship Id="rId2" Type="http://schemas.openxmlformats.org/officeDocument/2006/relationships/table" Target="../tables/table189.xml"/><Relationship Id="rId1" Type="http://schemas.openxmlformats.org/officeDocument/2006/relationships/printerSettings" Target="../printerSettings/printerSettings51.bin"/><Relationship Id="rId5" Type="http://schemas.openxmlformats.org/officeDocument/2006/relationships/table" Target="../tables/table192.xml"/><Relationship Id="rId4" Type="http://schemas.openxmlformats.org/officeDocument/2006/relationships/table" Target="../tables/table19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52.bin"/><Relationship Id="rId5" Type="http://schemas.openxmlformats.org/officeDocument/2006/relationships/table" Target="../tables/table196.xml"/><Relationship Id="rId4" Type="http://schemas.openxmlformats.org/officeDocument/2006/relationships/table" Target="../tables/table195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8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53.bin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2.xml"/><Relationship Id="rId2" Type="http://schemas.openxmlformats.org/officeDocument/2006/relationships/table" Target="../tables/table201.xml"/><Relationship Id="rId1" Type="http://schemas.openxmlformats.org/officeDocument/2006/relationships/printerSettings" Target="../printerSettings/printerSettings54.bin"/><Relationship Id="rId5" Type="http://schemas.openxmlformats.org/officeDocument/2006/relationships/table" Target="../tables/table204.xml"/><Relationship Id="rId4" Type="http://schemas.openxmlformats.org/officeDocument/2006/relationships/table" Target="../tables/table20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55.bin"/><Relationship Id="rId5" Type="http://schemas.openxmlformats.org/officeDocument/2006/relationships/table" Target="../tables/table208.xml"/><Relationship Id="rId4" Type="http://schemas.openxmlformats.org/officeDocument/2006/relationships/table" Target="../tables/table20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0.xml"/><Relationship Id="rId2" Type="http://schemas.openxmlformats.org/officeDocument/2006/relationships/table" Target="../tables/table209.xml"/><Relationship Id="rId1" Type="http://schemas.openxmlformats.org/officeDocument/2006/relationships/printerSettings" Target="../printerSettings/printerSettings56.bin"/><Relationship Id="rId5" Type="http://schemas.openxmlformats.org/officeDocument/2006/relationships/table" Target="../tables/table212.xml"/><Relationship Id="rId4" Type="http://schemas.openxmlformats.org/officeDocument/2006/relationships/table" Target="../tables/table2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4.xml"/><Relationship Id="rId2" Type="http://schemas.openxmlformats.org/officeDocument/2006/relationships/table" Target="../tables/table213.xml"/><Relationship Id="rId1" Type="http://schemas.openxmlformats.org/officeDocument/2006/relationships/printerSettings" Target="../printerSettings/printerSettings57.bin"/><Relationship Id="rId5" Type="http://schemas.openxmlformats.org/officeDocument/2006/relationships/table" Target="../tables/table216.xml"/><Relationship Id="rId4" Type="http://schemas.openxmlformats.org/officeDocument/2006/relationships/table" Target="../tables/table215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58.bin"/><Relationship Id="rId5" Type="http://schemas.openxmlformats.org/officeDocument/2006/relationships/table" Target="../tables/table220.xml"/><Relationship Id="rId4" Type="http://schemas.openxmlformats.org/officeDocument/2006/relationships/table" Target="../tables/table219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2.xml"/><Relationship Id="rId2" Type="http://schemas.openxmlformats.org/officeDocument/2006/relationships/table" Target="../tables/table221.xml"/><Relationship Id="rId1" Type="http://schemas.openxmlformats.org/officeDocument/2006/relationships/printerSettings" Target="../printerSettings/printerSettings59.bin"/><Relationship Id="rId5" Type="http://schemas.openxmlformats.org/officeDocument/2006/relationships/table" Target="../tables/table224.xml"/><Relationship Id="rId4" Type="http://schemas.openxmlformats.org/officeDocument/2006/relationships/table" Target="../tables/table223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6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60.bin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0.xml"/><Relationship Id="rId2" Type="http://schemas.openxmlformats.org/officeDocument/2006/relationships/table" Target="../tables/table229.xml"/><Relationship Id="rId1" Type="http://schemas.openxmlformats.org/officeDocument/2006/relationships/printerSettings" Target="../printerSettings/printerSettings61.bin"/><Relationship Id="rId5" Type="http://schemas.openxmlformats.org/officeDocument/2006/relationships/table" Target="../tables/table232.xml"/><Relationship Id="rId4" Type="http://schemas.openxmlformats.org/officeDocument/2006/relationships/table" Target="../tables/table23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4.xml"/><Relationship Id="rId2" Type="http://schemas.openxmlformats.org/officeDocument/2006/relationships/table" Target="../tables/table233.xml"/><Relationship Id="rId1" Type="http://schemas.openxmlformats.org/officeDocument/2006/relationships/printerSettings" Target="../printerSettings/printerSettings62.bin"/><Relationship Id="rId5" Type="http://schemas.openxmlformats.org/officeDocument/2006/relationships/table" Target="../tables/table236.xml"/><Relationship Id="rId4" Type="http://schemas.openxmlformats.org/officeDocument/2006/relationships/table" Target="../tables/table23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8.xml"/><Relationship Id="rId2" Type="http://schemas.openxmlformats.org/officeDocument/2006/relationships/table" Target="../tables/table237.xml"/><Relationship Id="rId1" Type="http://schemas.openxmlformats.org/officeDocument/2006/relationships/printerSettings" Target="../printerSettings/printerSettings63.bin"/><Relationship Id="rId5" Type="http://schemas.openxmlformats.org/officeDocument/2006/relationships/table" Target="../tables/table240.xml"/><Relationship Id="rId4" Type="http://schemas.openxmlformats.org/officeDocument/2006/relationships/table" Target="../tables/table239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2.xml"/><Relationship Id="rId2" Type="http://schemas.openxmlformats.org/officeDocument/2006/relationships/table" Target="../tables/table241.xml"/><Relationship Id="rId1" Type="http://schemas.openxmlformats.org/officeDocument/2006/relationships/printerSettings" Target="../printerSettings/printerSettings64.bin"/><Relationship Id="rId5" Type="http://schemas.openxmlformats.org/officeDocument/2006/relationships/table" Target="../tables/table244.xml"/><Relationship Id="rId4" Type="http://schemas.openxmlformats.org/officeDocument/2006/relationships/table" Target="../tables/table24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6.xml"/><Relationship Id="rId2" Type="http://schemas.openxmlformats.org/officeDocument/2006/relationships/table" Target="../tables/table245.xml"/><Relationship Id="rId1" Type="http://schemas.openxmlformats.org/officeDocument/2006/relationships/printerSettings" Target="../printerSettings/printerSettings65.bin"/><Relationship Id="rId5" Type="http://schemas.openxmlformats.org/officeDocument/2006/relationships/table" Target="../tables/table248.xml"/><Relationship Id="rId4" Type="http://schemas.openxmlformats.org/officeDocument/2006/relationships/table" Target="../tables/table2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6"/>
  <sheetViews>
    <sheetView tabSelected="1" workbookViewId="0"/>
  </sheetViews>
  <sheetFormatPr defaultRowHeight="13.5" x14ac:dyDescent="0.15"/>
  <sheetData>
    <row r="1" spans="1:2" x14ac:dyDescent="0.15">
      <c r="A1" t="s">
        <v>498</v>
      </c>
    </row>
    <row r="2" spans="1:2" x14ac:dyDescent="0.15">
      <c r="B2" s="13" t="s">
        <v>215</v>
      </c>
    </row>
    <row r="3" spans="1:2" x14ac:dyDescent="0.15">
      <c r="B3" s="13" t="s">
        <v>137</v>
      </c>
    </row>
    <row r="4" spans="1:2" x14ac:dyDescent="0.15">
      <c r="B4" s="13" t="s">
        <v>213</v>
      </c>
    </row>
    <row r="5" spans="1:2" x14ac:dyDescent="0.15">
      <c r="B5" s="13" t="s">
        <v>436</v>
      </c>
    </row>
    <row r="6" spans="1:2" x14ac:dyDescent="0.15">
      <c r="B6" s="13" t="s">
        <v>437</v>
      </c>
    </row>
    <row r="7" spans="1:2" x14ac:dyDescent="0.15">
      <c r="B7" s="13" t="s">
        <v>438</v>
      </c>
    </row>
    <row r="8" spans="1:2" x14ac:dyDescent="0.15">
      <c r="B8" s="13" t="s">
        <v>439</v>
      </c>
    </row>
    <row r="9" spans="1:2" x14ac:dyDescent="0.15">
      <c r="B9" s="13" t="s">
        <v>440</v>
      </c>
    </row>
    <row r="10" spans="1:2" x14ac:dyDescent="0.15">
      <c r="B10" s="13" t="s">
        <v>441</v>
      </c>
    </row>
    <row r="11" spans="1:2" x14ac:dyDescent="0.15">
      <c r="B11" s="13" t="s">
        <v>442</v>
      </c>
    </row>
    <row r="12" spans="1:2" x14ac:dyDescent="0.15">
      <c r="B12" s="13" t="s">
        <v>443</v>
      </c>
    </row>
    <row r="13" spans="1:2" x14ac:dyDescent="0.15">
      <c r="B13" s="13" t="s">
        <v>444</v>
      </c>
    </row>
    <row r="14" spans="1:2" x14ac:dyDescent="0.15">
      <c r="B14" s="13" t="s">
        <v>445</v>
      </c>
    </row>
    <row r="15" spans="1:2" x14ac:dyDescent="0.15">
      <c r="B15" s="13" t="s">
        <v>446</v>
      </c>
    </row>
    <row r="16" spans="1:2" x14ac:dyDescent="0.15">
      <c r="B16" s="13" t="s">
        <v>447</v>
      </c>
    </row>
    <row r="17" spans="2:2" x14ac:dyDescent="0.15">
      <c r="B17" s="13" t="s">
        <v>448</v>
      </c>
    </row>
    <row r="18" spans="2:2" x14ac:dyDescent="0.15">
      <c r="B18" s="13" t="s">
        <v>449</v>
      </c>
    </row>
    <row r="19" spans="2:2" x14ac:dyDescent="0.15">
      <c r="B19" s="13" t="s">
        <v>450</v>
      </c>
    </row>
    <row r="20" spans="2:2" x14ac:dyDescent="0.15">
      <c r="B20" s="13" t="s">
        <v>451</v>
      </c>
    </row>
    <row r="21" spans="2:2" x14ac:dyDescent="0.15">
      <c r="B21" s="13" t="s">
        <v>452</v>
      </c>
    </row>
    <row r="22" spans="2:2" x14ac:dyDescent="0.15">
      <c r="B22" s="13" t="s">
        <v>453</v>
      </c>
    </row>
    <row r="23" spans="2:2" x14ac:dyDescent="0.15">
      <c r="B23" s="13" t="s">
        <v>454</v>
      </c>
    </row>
    <row r="24" spans="2:2" x14ac:dyDescent="0.15">
      <c r="B24" s="13" t="s">
        <v>455</v>
      </c>
    </row>
    <row r="25" spans="2:2" x14ac:dyDescent="0.15">
      <c r="B25" s="13" t="s">
        <v>456</v>
      </c>
    </row>
    <row r="26" spans="2:2" x14ac:dyDescent="0.15">
      <c r="B26" s="13" t="s">
        <v>457</v>
      </c>
    </row>
    <row r="27" spans="2:2" x14ac:dyDescent="0.15">
      <c r="B27" s="13" t="s">
        <v>458</v>
      </c>
    </row>
    <row r="28" spans="2:2" x14ac:dyDescent="0.15">
      <c r="B28" s="13" t="s">
        <v>459</v>
      </c>
    </row>
    <row r="29" spans="2:2" x14ac:dyDescent="0.15">
      <c r="B29" s="13" t="s">
        <v>460</v>
      </c>
    </row>
    <row r="30" spans="2:2" x14ac:dyDescent="0.15">
      <c r="B30" s="13" t="s">
        <v>461</v>
      </c>
    </row>
    <row r="31" spans="2:2" x14ac:dyDescent="0.15">
      <c r="B31" s="13" t="s">
        <v>462</v>
      </c>
    </row>
    <row r="32" spans="2:2" x14ac:dyDescent="0.15">
      <c r="B32" s="13" t="s">
        <v>463</v>
      </c>
    </row>
    <row r="33" spans="2:2" x14ac:dyDescent="0.15">
      <c r="B33" s="13" t="s">
        <v>464</v>
      </c>
    </row>
    <row r="34" spans="2:2" x14ac:dyDescent="0.15">
      <c r="B34" s="13" t="s">
        <v>465</v>
      </c>
    </row>
    <row r="35" spans="2:2" x14ac:dyDescent="0.15">
      <c r="B35" s="13" t="s">
        <v>466</v>
      </c>
    </row>
    <row r="36" spans="2:2" x14ac:dyDescent="0.15">
      <c r="B36" s="13" t="s">
        <v>467</v>
      </c>
    </row>
    <row r="37" spans="2:2" x14ac:dyDescent="0.15">
      <c r="B37" s="13" t="s">
        <v>468</v>
      </c>
    </row>
    <row r="38" spans="2:2" x14ac:dyDescent="0.15">
      <c r="B38" s="13" t="s">
        <v>469</v>
      </c>
    </row>
    <row r="39" spans="2:2" x14ac:dyDescent="0.15">
      <c r="B39" s="13" t="s">
        <v>470</v>
      </c>
    </row>
    <row r="40" spans="2:2" x14ac:dyDescent="0.15">
      <c r="B40" s="13" t="s">
        <v>471</v>
      </c>
    </row>
    <row r="41" spans="2:2" x14ac:dyDescent="0.15">
      <c r="B41" s="13" t="s">
        <v>472</v>
      </c>
    </row>
    <row r="42" spans="2:2" x14ac:dyDescent="0.15">
      <c r="B42" s="13" t="s">
        <v>473</v>
      </c>
    </row>
    <row r="43" spans="2:2" x14ac:dyDescent="0.15">
      <c r="B43" s="13" t="s">
        <v>474</v>
      </c>
    </row>
    <row r="44" spans="2:2" x14ac:dyDescent="0.15">
      <c r="B44" s="13" t="s">
        <v>475</v>
      </c>
    </row>
    <row r="45" spans="2:2" x14ac:dyDescent="0.15">
      <c r="B45" s="13" t="s">
        <v>476</v>
      </c>
    </row>
    <row r="46" spans="2:2" x14ac:dyDescent="0.15">
      <c r="B46" s="13" t="s">
        <v>477</v>
      </c>
    </row>
    <row r="47" spans="2:2" x14ac:dyDescent="0.15">
      <c r="B47" s="13" t="s">
        <v>478</v>
      </c>
    </row>
    <row r="48" spans="2:2" x14ac:dyDescent="0.15">
      <c r="B48" s="13" t="s">
        <v>479</v>
      </c>
    </row>
    <row r="49" spans="2:2" x14ac:dyDescent="0.15">
      <c r="B49" s="13" t="s">
        <v>480</v>
      </c>
    </row>
    <row r="50" spans="2:2" x14ac:dyDescent="0.15">
      <c r="B50" s="13" t="s">
        <v>481</v>
      </c>
    </row>
    <row r="51" spans="2:2" x14ac:dyDescent="0.15">
      <c r="B51" s="13" t="s">
        <v>482</v>
      </c>
    </row>
    <row r="52" spans="2:2" x14ac:dyDescent="0.15">
      <c r="B52" s="13" t="s">
        <v>483</v>
      </c>
    </row>
    <row r="53" spans="2:2" x14ac:dyDescent="0.15">
      <c r="B53" s="13" t="s">
        <v>484</v>
      </c>
    </row>
    <row r="54" spans="2:2" x14ac:dyDescent="0.15">
      <c r="B54" s="13" t="s">
        <v>485</v>
      </c>
    </row>
    <row r="55" spans="2:2" x14ac:dyDescent="0.15">
      <c r="B55" s="13" t="s">
        <v>486</v>
      </c>
    </row>
    <row r="56" spans="2:2" x14ac:dyDescent="0.15">
      <c r="B56" s="13" t="s">
        <v>487</v>
      </c>
    </row>
    <row r="57" spans="2:2" x14ac:dyDescent="0.15">
      <c r="B57" s="13" t="s">
        <v>488</v>
      </c>
    </row>
    <row r="58" spans="2:2" x14ac:dyDescent="0.15">
      <c r="B58" s="13" t="s">
        <v>489</v>
      </c>
    </row>
    <row r="59" spans="2:2" x14ac:dyDescent="0.15">
      <c r="B59" s="13" t="s">
        <v>490</v>
      </c>
    </row>
    <row r="60" spans="2:2" x14ac:dyDescent="0.15">
      <c r="B60" s="13" t="s">
        <v>491</v>
      </c>
    </row>
    <row r="61" spans="2:2" x14ac:dyDescent="0.15">
      <c r="B61" s="13" t="s">
        <v>492</v>
      </c>
    </row>
    <row r="62" spans="2:2" x14ac:dyDescent="0.15">
      <c r="B62" s="13" t="s">
        <v>493</v>
      </c>
    </row>
    <row r="63" spans="2:2" x14ac:dyDescent="0.15">
      <c r="B63" s="13" t="s">
        <v>494</v>
      </c>
    </row>
    <row r="64" spans="2:2" x14ac:dyDescent="0.15">
      <c r="B64" s="13" t="s">
        <v>495</v>
      </c>
    </row>
    <row r="65" spans="2:2" x14ac:dyDescent="0.15">
      <c r="B65" s="13" t="s">
        <v>496</v>
      </c>
    </row>
    <row r="66" spans="2:2" x14ac:dyDescent="0.15">
      <c r="B66" s="13" t="s">
        <v>497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神奈川県'!a1" display="神奈川県"/>
    <hyperlink ref="B6" location="'横浜市'!a1" display="横浜市"/>
    <hyperlink ref="B7" location="'横浜市鶴見区'!a1" display="横浜市鶴見区"/>
    <hyperlink ref="B8" location="'横浜市神奈川区'!a1" display="横浜市神奈川区"/>
    <hyperlink ref="B9" location="'横浜市西区'!a1" display="横浜市西区"/>
    <hyperlink ref="B10" location="'横浜市中区'!a1" display="横浜市中区"/>
    <hyperlink ref="B11" location="'横浜市南区'!a1" display="横浜市南区"/>
    <hyperlink ref="B12" location="'横浜市保土ケ谷区'!a1" display="横浜市保土ケ谷区"/>
    <hyperlink ref="B13" location="'横浜市磯子区'!a1" display="横浜市磯子区"/>
    <hyperlink ref="B14" location="'横浜市金沢区'!a1" display="横浜市金沢区"/>
    <hyperlink ref="B15" location="'横浜市港北区'!a1" display="横浜市港北区"/>
    <hyperlink ref="B16" location="'横浜市戸塚区'!a1" display="横浜市戸塚区"/>
    <hyperlink ref="B17" location="'横浜市港南区'!a1" display="横浜市港南区"/>
    <hyperlink ref="B18" location="'横浜市旭区'!a1" display="横浜市旭区"/>
    <hyperlink ref="B19" location="'横浜市緑区'!a1" display="横浜市緑区"/>
    <hyperlink ref="B20" location="'横浜市瀬谷区'!a1" display="横浜市瀬谷区"/>
    <hyperlink ref="B21" location="'横浜市栄区'!a1" display="横浜市栄区"/>
    <hyperlink ref="B22" location="'横浜市泉区'!a1" display="横浜市泉区"/>
    <hyperlink ref="B23" location="'横浜市青葉区'!a1" display="横浜市青葉区"/>
    <hyperlink ref="B24" location="'横浜市都筑区'!a1" display="横浜市都筑区"/>
    <hyperlink ref="B25" location="'川崎市'!a1" display="川崎市"/>
    <hyperlink ref="B26" location="'川崎市川崎区'!a1" display="川崎市川崎区"/>
    <hyperlink ref="B27" location="'川崎市幸区'!a1" display="川崎市幸区"/>
    <hyperlink ref="B28" location="'川崎市中原区'!a1" display="川崎市中原区"/>
    <hyperlink ref="B29" location="'川崎市高津区'!a1" display="川崎市高津区"/>
    <hyperlink ref="B30" location="'川崎市多摩区'!a1" display="川崎市多摩区"/>
    <hyperlink ref="B31" location="'川崎市宮前区'!a1" display="川崎市宮前区"/>
    <hyperlink ref="B32" location="'川崎市麻生区'!a1" display="川崎市麻生区"/>
    <hyperlink ref="B33" location="'相模原市'!a1" display="相模原市"/>
    <hyperlink ref="B34" location="'相模原市緑区'!a1" display="相模原市緑区"/>
    <hyperlink ref="B35" location="'相模原市中央区'!a1" display="相模原市中央区"/>
    <hyperlink ref="B36" location="'相模原市南区'!a1" display="相模原市南区"/>
    <hyperlink ref="B37" location="'横須賀市'!a1" display="横須賀市"/>
    <hyperlink ref="B38" location="'平塚市'!a1" display="平塚市"/>
    <hyperlink ref="B39" location="'鎌倉市'!a1" display="鎌倉市"/>
    <hyperlink ref="B40" location="'藤沢市'!a1" display="藤沢市"/>
    <hyperlink ref="B41" location="'小田原市'!a1" display="小田原市"/>
    <hyperlink ref="B42" location="'茅ヶ崎市'!a1" display="茅ヶ崎市"/>
    <hyperlink ref="B43" location="'逗子市'!a1" display="逗子市"/>
    <hyperlink ref="B44" location="'三浦市'!a1" display="三浦市"/>
    <hyperlink ref="B45" location="'秦野市'!a1" display="秦野市"/>
    <hyperlink ref="B46" location="'厚木市'!a1" display="厚木市"/>
    <hyperlink ref="B47" location="'大和市'!a1" display="大和市"/>
    <hyperlink ref="B48" location="'伊勢原市'!a1" display="伊勢原市"/>
    <hyperlink ref="B49" location="'海老名市'!a1" display="海老名市"/>
    <hyperlink ref="B50" location="'座間市'!a1" display="座間市"/>
    <hyperlink ref="B51" location="'南足柄市'!a1" display="南足柄市"/>
    <hyperlink ref="B52" location="'綾瀬市'!a1" display="綾瀬市"/>
    <hyperlink ref="B53" location="'三浦郡葉山町'!a1" display="三浦郡葉山町"/>
    <hyperlink ref="B54" location="'高座郡寒川町'!a1" display="高座郡寒川町"/>
    <hyperlink ref="B55" location="'中郡大磯町'!a1" display="中郡大磯町"/>
    <hyperlink ref="B56" location="'中郡二宮町'!a1" display="中郡二宮町"/>
    <hyperlink ref="B57" location="'足柄上郡中井町'!a1" display="足柄上郡中井町"/>
    <hyperlink ref="B58" location="'足柄上郡大井町'!a1" display="足柄上郡大井町"/>
    <hyperlink ref="B59" location="'足柄上郡松田町'!a1" display="足柄上郡松田町"/>
    <hyperlink ref="B60" location="'足柄上郡山北町'!a1" display="足柄上郡山北町"/>
    <hyperlink ref="B61" location="'足柄上郡開成町'!a1" display="足柄上郡開成町"/>
    <hyperlink ref="B62" location="'足柄下郡箱根町'!a1" display="足柄下郡箱根町"/>
    <hyperlink ref="B63" location="'足柄下郡真鶴町'!a1" display="足柄下郡真鶴町"/>
    <hyperlink ref="B64" location="'足柄下郡湯河原町'!a1" display="足柄下郡湯河原町"/>
    <hyperlink ref="B65" location="'愛甲郡愛川町'!a1" display="愛甲郡愛川町"/>
    <hyperlink ref="B66" location="'愛甲郡清川村'!a1" display="愛甲郡清川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93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77</v>
      </c>
      <c r="B1" s="7" t="s">
        <v>78</v>
      </c>
      <c r="C1" s="7" t="s">
        <v>79</v>
      </c>
      <c r="D1" s="7" t="s">
        <v>80</v>
      </c>
      <c r="E1" s="7" t="s">
        <v>81</v>
      </c>
      <c r="F1" s="7" t="s">
        <v>82</v>
      </c>
      <c r="G1" s="7" t="s">
        <v>83</v>
      </c>
      <c r="H1" s="7" t="s">
        <v>84</v>
      </c>
    </row>
    <row r="2" spans="1:8" x14ac:dyDescent="0.15">
      <c r="A2" s="1" t="s">
        <v>0</v>
      </c>
      <c r="B2" s="4">
        <v>161277</v>
      </c>
      <c r="C2" s="5">
        <v>100</v>
      </c>
      <c r="D2" s="4">
        <v>73176</v>
      </c>
      <c r="E2" s="5">
        <v>100.01</v>
      </c>
      <c r="F2" s="4">
        <v>87892</v>
      </c>
      <c r="G2" s="5">
        <v>100.01</v>
      </c>
      <c r="H2" s="4">
        <v>209</v>
      </c>
    </row>
    <row r="3" spans="1:8" x14ac:dyDescent="0.15">
      <c r="A3" s="2" t="s">
        <v>62</v>
      </c>
      <c r="B3" s="4">
        <v>9</v>
      </c>
      <c r="C3" s="5">
        <v>0.01</v>
      </c>
      <c r="D3" s="4">
        <v>0</v>
      </c>
      <c r="E3" s="5">
        <v>0</v>
      </c>
      <c r="F3" s="4">
        <v>9</v>
      </c>
      <c r="G3" s="5">
        <v>0.01</v>
      </c>
      <c r="H3" s="4">
        <v>0</v>
      </c>
    </row>
    <row r="4" spans="1:8" x14ac:dyDescent="0.15">
      <c r="A4" s="2" t="s">
        <v>63</v>
      </c>
      <c r="B4" s="4">
        <v>22802</v>
      </c>
      <c r="C4" s="5">
        <v>14.14</v>
      </c>
      <c r="D4" s="4">
        <v>4252</v>
      </c>
      <c r="E4" s="5">
        <v>5.81</v>
      </c>
      <c r="F4" s="4">
        <v>18546</v>
      </c>
      <c r="G4" s="5">
        <v>21.1</v>
      </c>
      <c r="H4" s="4">
        <v>4</v>
      </c>
    </row>
    <row r="5" spans="1:8" x14ac:dyDescent="0.15">
      <c r="A5" s="2" t="s">
        <v>64</v>
      </c>
      <c r="B5" s="4">
        <v>12097</v>
      </c>
      <c r="C5" s="5">
        <v>7.5</v>
      </c>
      <c r="D5" s="4">
        <v>2434</v>
      </c>
      <c r="E5" s="5">
        <v>3.33</v>
      </c>
      <c r="F5" s="4">
        <v>9660</v>
      </c>
      <c r="G5" s="5">
        <v>10.99</v>
      </c>
      <c r="H5" s="4">
        <v>3</v>
      </c>
    </row>
    <row r="6" spans="1:8" x14ac:dyDescent="0.15">
      <c r="A6" s="2" t="s">
        <v>65</v>
      </c>
      <c r="B6" s="4">
        <v>20</v>
      </c>
      <c r="C6" s="5">
        <v>0.01</v>
      </c>
      <c r="D6" s="4">
        <v>0</v>
      </c>
      <c r="E6" s="5">
        <v>0</v>
      </c>
      <c r="F6" s="4">
        <v>20</v>
      </c>
      <c r="G6" s="5">
        <v>0.02</v>
      </c>
      <c r="H6" s="4">
        <v>0</v>
      </c>
    </row>
    <row r="7" spans="1:8" x14ac:dyDescent="0.15">
      <c r="A7" s="2" t="s">
        <v>66</v>
      </c>
      <c r="B7" s="4">
        <v>1978</v>
      </c>
      <c r="C7" s="5">
        <v>1.23</v>
      </c>
      <c r="D7" s="4">
        <v>78</v>
      </c>
      <c r="E7" s="5">
        <v>0.11</v>
      </c>
      <c r="F7" s="4">
        <v>1888</v>
      </c>
      <c r="G7" s="5">
        <v>2.15</v>
      </c>
      <c r="H7" s="4">
        <v>12</v>
      </c>
    </row>
    <row r="8" spans="1:8" x14ac:dyDescent="0.15">
      <c r="A8" s="2" t="s">
        <v>67</v>
      </c>
      <c r="B8" s="4">
        <v>1974</v>
      </c>
      <c r="C8" s="5">
        <v>1.22</v>
      </c>
      <c r="D8" s="4">
        <v>576</v>
      </c>
      <c r="E8" s="5">
        <v>0.79</v>
      </c>
      <c r="F8" s="4">
        <v>1393</v>
      </c>
      <c r="G8" s="5">
        <v>1.58</v>
      </c>
      <c r="H8" s="4">
        <v>5</v>
      </c>
    </row>
    <row r="9" spans="1:8" x14ac:dyDescent="0.15">
      <c r="A9" s="2" t="s">
        <v>68</v>
      </c>
      <c r="B9" s="4">
        <v>33662</v>
      </c>
      <c r="C9" s="5">
        <v>20.87</v>
      </c>
      <c r="D9" s="4">
        <v>12440</v>
      </c>
      <c r="E9" s="5">
        <v>17</v>
      </c>
      <c r="F9" s="4">
        <v>21198</v>
      </c>
      <c r="G9" s="5">
        <v>24.12</v>
      </c>
      <c r="H9" s="4">
        <v>24</v>
      </c>
    </row>
    <row r="10" spans="1:8" x14ac:dyDescent="0.15">
      <c r="A10" s="2" t="s">
        <v>69</v>
      </c>
      <c r="B10" s="4">
        <v>941</v>
      </c>
      <c r="C10" s="5">
        <v>0.57999999999999996</v>
      </c>
      <c r="D10" s="4">
        <v>109</v>
      </c>
      <c r="E10" s="5">
        <v>0.15</v>
      </c>
      <c r="F10" s="4">
        <v>832</v>
      </c>
      <c r="G10" s="5">
        <v>0.95</v>
      </c>
      <c r="H10" s="4">
        <v>0</v>
      </c>
    </row>
    <row r="11" spans="1:8" x14ac:dyDescent="0.15">
      <c r="A11" s="2" t="s">
        <v>70</v>
      </c>
      <c r="B11" s="4">
        <v>22512</v>
      </c>
      <c r="C11" s="5">
        <v>13.96</v>
      </c>
      <c r="D11" s="4">
        <v>10746</v>
      </c>
      <c r="E11" s="5">
        <v>14.69</v>
      </c>
      <c r="F11" s="4">
        <v>11734</v>
      </c>
      <c r="G11" s="5">
        <v>13.35</v>
      </c>
      <c r="H11" s="4">
        <v>32</v>
      </c>
    </row>
    <row r="12" spans="1:8" x14ac:dyDescent="0.15">
      <c r="A12" s="2" t="s">
        <v>71</v>
      </c>
      <c r="B12" s="4">
        <v>8742</v>
      </c>
      <c r="C12" s="5">
        <v>5.42</v>
      </c>
      <c r="D12" s="4">
        <v>3895</v>
      </c>
      <c r="E12" s="5">
        <v>5.32</v>
      </c>
      <c r="F12" s="4">
        <v>4840</v>
      </c>
      <c r="G12" s="5">
        <v>5.51</v>
      </c>
      <c r="H12" s="4">
        <v>7</v>
      </c>
    </row>
    <row r="13" spans="1:8" x14ac:dyDescent="0.15">
      <c r="A13" s="2" t="s">
        <v>72</v>
      </c>
      <c r="B13" s="4">
        <v>19592</v>
      </c>
      <c r="C13" s="5">
        <v>12.15</v>
      </c>
      <c r="D13" s="4">
        <v>15092</v>
      </c>
      <c r="E13" s="5">
        <v>20.62</v>
      </c>
      <c r="F13" s="4">
        <v>4487</v>
      </c>
      <c r="G13" s="5">
        <v>5.1100000000000003</v>
      </c>
      <c r="H13" s="4">
        <v>13</v>
      </c>
    </row>
    <row r="14" spans="1:8" x14ac:dyDescent="0.15">
      <c r="A14" s="2" t="s">
        <v>73</v>
      </c>
      <c r="B14" s="4">
        <v>18020</v>
      </c>
      <c r="C14" s="5">
        <v>11.17</v>
      </c>
      <c r="D14" s="4">
        <v>12844</v>
      </c>
      <c r="E14" s="5">
        <v>17.55</v>
      </c>
      <c r="F14" s="4">
        <v>5167</v>
      </c>
      <c r="G14" s="5">
        <v>5.88</v>
      </c>
      <c r="H14" s="4">
        <v>9</v>
      </c>
    </row>
    <row r="15" spans="1:8" x14ac:dyDescent="0.15">
      <c r="A15" s="2" t="s">
        <v>74</v>
      </c>
      <c r="B15" s="4">
        <v>6076</v>
      </c>
      <c r="C15" s="5">
        <v>3.77</v>
      </c>
      <c r="D15" s="4">
        <v>4168</v>
      </c>
      <c r="E15" s="5">
        <v>5.7</v>
      </c>
      <c r="F15" s="4">
        <v>1890</v>
      </c>
      <c r="G15" s="5">
        <v>2.15</v>
      </c>
      <c r="H15" s="4">
        <v>18</v>
      </c>
    </row>
    <row r="16" spans="1:8" x14ac:dyDescent="0.15">
      <c r="A16" s="2" t="s">
        <v>75</v>
      </c>
      <c r="B16" s="4">
        <v>7967</v>
      </c>
      <c r="C16" s="5">
        <v>4.9400000000000004</v>
      </c>
      <c r="D16" s="4">
        <v>5335</v>
      </c>
      <c r="E16" s="5">
        <v>7.29</v>
      </c>
      <c r="F16" s="4">
        <v>2589</v>
      </c>
      <c r="G16" s="5">
        <v>2.95</v>
      </c>
      <c r="H16" s="4">
        <v>43</v>
      </c>
    </row>
    <row r="17" spans="1:8" x14ac:dyDescent="0.15">
      <c r="A17" s="2" t="s">
        <v>76</v>
      </c>
      <c r="B17" s="4">
        <v>4885</v>
      </c>
      <c r="C17" s="5">
        <v>3.03</v>
      </c>
      <c r="D17" s="4">
        <v>1207</v>
      </c>
      <c r="E17" s="5">
        <v>1.65</v>
      </c>
      <c r="F17" s="4">
        <v>3639</v>
      </c>
      <c r="G17" s="5">
        <v>4.1399999999999997</v>
      </c>
      <c r="H17" s="4">
        <v>39</v>
      </c>
    </row>
    <row r="18" spans="1:8" x14ac:dyDescent="0.15">
      <c r="A18" s="1" t="s">
        <v>1</v>
      </c>
      <c r="B18" s="4">
        <v>60987</v>
      </c>
      <c r="C18" s="5">
        <v>100.00000000000003</v>
      </c>
      <c r="D18" s="4">
        <v>24341</v>
      </c>
      <c r="E18" s="5">
        <v>100.00999999999998</v>
      </c>
      <c r="F18" s="4">
        <v>36553</v>
      </c>
      <c r="G18" s="5">
        <v>100.01000000000002</v>
      </c>
      <c r="H18" s="4">
        <v>93</v>
      </c>
    </row>
    <row r="19" spans="1:8" x14ac:dyDescent="0.15">
      <c r="A19" s="2" t="s">
        <v>62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63</v>
      </c>
      <c r="B20" s="4">
        <v>8428</v>
      </c>
      <c r="C20" s="5">
        <v>13.82</v>
      </c>
      <c r="D20" s="4">
        <v>1156</v>
      </c>
      <c r="E20" s="5">
        <v>4.75</v>
      </c>
      <c r="F20" s="4">
        <v>7270</v>
      </c>
      <c r="G20" s="5">
        <v>19.89</v>
      </c>
      <c r="H20" s="4">
        <v>2</v>
      </c>
    </row>
    <row r="21" spans="1:8" x14ac:dyDescent="0.15">
      <c r="A21" s="2" t="s">
        <v>64</v>
      </c>
      <c r="B21" s="4">
        <v>4280</v>
      </c>
      <c r="C21" s="5">
        <v>7.02</v>
      </c>
      <c r="D21" s="4">
        <v>691</v>
      </c>
      <c r="E21" s="5">
        <v>2.84</v>
      </c>
      <c r="F21" s="4">
        <v>3588</v>
      </c>
      <c r="G21" s="5">
        <v>9.82</v>
      </c>
      <c r="H21" s="4">
        <v>1</v>
      </c>
    </row>
    <row r="22" spans="1:8" x14ac:dyDescent="0.15">
      <c r="A22" s="2" t="s">
        <v>65</v>
      </c>
      <c r="B22" s="4">
        <v>9</v>
      </c>
      <c r="C22" s="5">
        <v>0.01</v>
      </c>
      <c r="D22" s="4">
        <v>0</v>
      </c>
      <c r="E22" s="5">
        <v>0</v>
      </c>
      <c r="F22" s="4">
        <v>9</v>
      </c>
      <c r="G22" s="5">
        <v>0.02</v>
      </c>
      <c r="H22" s="4">
        <v>0</v>
      </c>
    </row>
    <row r="23" spans="1:8" x14ac:dyDescent="0.15">
      <c r="A23" s="2" t="s">
        <v>66</v>
      </c>
      <c r="B23" s="4">
        <v>958</v>
      </c>
      <c r="C23" s="5">
        <v>1.57</v>
      </c>
      <c r="D23" s="4">
        <v>33</v>
      </c>
      <c r="E23" s="5">
        <v>0.14000000000000001</v>
      </c>
      <c r="F23" s="4">
        <v>919</v>
      </c>
      <c r="G23" s="5">
        <v>2.5099999999999998</v>
      </c>
      <c r="H23" s="4">
        <v>6</v>
      </c>
    </row>
    <row r="24" spans="1:8" x14ac:dyDescent="0.15">
      <c r="A24" s="2" t="s">
        <v>67</v>
      </c>
      <c r="B24" s="4">
        <v>852</v>
      </c>
      <c r="C24" s="5">
        <v>1.4</v>
      </c>
      <c r="D24" s="4">
        <v>208</v>
      </c>
      <c r="E24" s="5">
        <v>0.85</v>
      </c>
      <c r="F24" s="4">
        <v>642</v>
      </c>
      <c r="G24" s="5">
        <v>1.76</v>
      </c>
      <c r="H24" s="4">
        <v>2</v>
      </c>
    </row>
    <row r="25" spans="1:8" x14ac:dyDescent="0.15">
      <c r="A25" s="2" t="s">
        <v>68</v>
      </c>
      <c r="B25" s="4">
        <v>13021</v>
      </c>
      <c r="C25" s="5">
        <v>21.35</v>
      </c>
      <c r="D25" s="4">
        <v>4065</v>
      </c>
      <c r="E25" s="5">
        <v>16.7</v>
      </c>
      <c r="F25" s="4">
        <v>8948</v>
      </c>
      <c r="G25" s="5">
        <v>24.48</v>
      </c>
      <c r="H25" s="4">
        <v>8</v>
      </c>
    </row>
    <row r="26" spans="1:8" x14ac:dyDescent="0.15">
      <c r="A26" s="2" t="s">
        <v>69</v>
      </c>
      <c r="B26" s="4">
        <v>414</v>
      </c>
      <c r="C26" s="5">
        <v>0.68</v>
      </c>
      <c r="D26" s="4">
        <v>28</v>
      </c>
      <c r="E26" s="5">
        <v>0.12</v>
      </c>
      <c r="F26" s="4">
        <v>386</v>
      </c>
      <c r="G26" s="5">
        <v>1.06</v>
      </c>
      <c r="H26" s="4">
        <v>0</v>
      </c>
    </row>
    <row r="27" spans="1:8" x14ac:dyDescent="0.15">
      <c r="A27" s="2" t="s">
        <v>70</v>
      </c>
      <c r="B27" s="4">
        <v>8078</v>
      </c>
      <c r="C27" s="5">
        <v>13.25</v>
      </c>
      <c r="D27" s="4">
        <v>3034</v>
      </c>
      <c r="E27" s="5">
        <v>12.46</v>
      </c>
      <c r="F27" s="4">
        <v>5025</v>
      </c>
      <c r="G27" s="5">
        <v>13.75</v>
      </c>
      <c r="H27" s="4">
        <v>19</v>
      </c>
    </row>
    <row r="28" spans="1:8" x14ac:dyDescent="0.15">
      <c r="A28" s="2" t="s">
        <v>71</v>
      </c>
      <c r="B28" s="4">
        <v>4082</v>
      </c>
      <c r="C28" s="5">
        <v>6.69</v>
      </c>
      <c r="D28" s="4">
        <v>1750</v>
      </c>
      <c r="E28" s="5">
        <v>7.19</v>
      </c>
      <c r="F28" s="4">
        <v>2330</v>
      </c>
      <c r="G28" s="5">
        <v>6.37</v>
      </c>
      <c r="H28" s="4">
        <v>2</v>
      </c>
    </row>
    <row r="29" spans="1:8" x14ac:dyDescent="0.15">
      <c r="A29" s="2" t="s">
        <v>72</v>
      </c>
      <c r="B29" s="4">
        <v>6932</v>
      </c>
      <c r="C29" s="5">
        <v>11.37</v>
      </c>
      <c r="D29" s="4">
        <v>5127</v>
      </c>
      <c r="E29" s="5">
        <v>21.06</v>
      </c>
      <c r="F29" s="4">
        <v>1801</v>
      </c>
      <c r="G29" s="5">
        <v>4.93</v>
      </c>
      <c r="H29" s="4">
        <v>4</v>
      </c>
    </row>
    <row r="30" spans="1:8" x14ac:dyDescent="0.15">
      <c r="A30" s="2" t="s">
        <v>73</v>
      </c>
      <c r="B30" s="4">
        <v>6583</v>
      </c>
      <c r="C30" s="5">
        <v>10.79</v>
      </c>
      <c r="D30" s="4">
        <v>4424</v>
      </c>
      <c r="E30" s="5">
        <v>18.18</v>
      </c>
      <c r="F30" s="4">
        <v>2156</v>
      </c>
      <c r="G30" s="5">
        <v>5.9</v>
      </c>
      <c r="H30" s="4">
        <v>3</v>
      </c>
    </row>
    <row r="31" spans="1:8" x14ac:dyDescent="0.15">
      <c r="A31" s="2" t="s">
        <v>74</v>
      </c>
      <c r="B31" s="4">
        <v>2275</v>
      </c>
      <c r="C31" s="5">
        <v>3.73</v>
      </c>
      <c r="D31" s="4">
        <v>1450</v>
      </c>
      <c r="E31" s="5">
        <v>5.96</v>
      </c>
      <c r="F31" s="4">
        <v>821</v>
      </c>
      <c r="G31" s="5">
        <v>2.25</v>
      </c>
      <c r="H31" s="4">
        <v>4</v>
      </c>
    </row>
    <row r="32" spans="1:8" x14ac:dyDescent="0.15">
      <c r="A32" s="2" t="s">
        <v>75</v>
      </c>
      <c r="B32" s="4">
        <v>3070</v>
      </c>
      <c r="C32" s="5">
        <v>5.03</v>
      </c>
      <c r="D32" s="4">
        <v>1994</v>
      </c>
      <c r="E32" s="5">
        <v>8.19</v>
      </c>
      <c r="F32" s="4">
        <v>1050</v>
      </c>
      <c r="G32" s="5">
        <v>2.87</v>
      </c>
      <c r="H32" s="4">
        <v>26</v>
      </c>
    </row>
    <row r="33" spans="1:8" x14ac:dyDescent="0.15">
      <c r="A33" s="2" t="s">
        <v>76</v>
      </c>
      <c r="B33" s="4">
        <v>2005</v>
      </c>
      <c r="C33" s="5">
        <v>3.29</v>
      </c>
      <c r="D33" s="4">
        <v>381</v>
      </c>
      <c r="E33" s="5">
        <v>1.57</v>
      </c>
      <c r="F33" s="4">
        <v>1608</v>
      </c>
      <c r="G33" s="5">
        <v>4.4000000000000004</v>
      </c>
      <c r="H33" s="4">
        <v>16</v>
      </c>
    </row>
    <row r="34" spans="1:8" x14ac:dyDescent="0.15">
      <c r="A34" s="1" t="s">
        <v>2</v>
      </c>
      <c r="B34" s="4">
        <v>5015</v>
      </c>
      <c r="C34" s="5">
        <v>99.999999999999986</v>
      </c>
      <c r="D34" s="4">
        <v>2117</v>
      </c>
      <c r="E34" s="5">
        <v>100.02000000000001</v>
      </c>
      <c r="F34" s="4">
        <v>2890</v>
      </c>
      <c r="G34" s="5">
        <v>99.989999999999981</v>
      </c>
      <c r="H34" s="4">
        <v>8</v>
      </c>
    </row>
    <row r="35" spans="1:8" x14ac:dyDescent="0.15">
      <c r="A35" s="2" t="s">
        <v>62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63</v>
      </c>
      <c r="B36" s="4">
        <v>789</v>
      </c>
      <c r="C36" s="5">
        <v>15.73</v>
      </c>
      <c r="D36" s="4">
        <v>115</v>
      </c>
      <c r="E36" s="5">
        <v>5.43</v>
      </c>
      <c r="F36" s="4">
        <v>674</v>
      </c>
      <c r="G36" s="5">
        <v>23.32</v>
      </c>
      <c r="H36" s="4">
        <v>0</v>
      </c>
    </row>
    <row r="37" spans="1:8" x14ac:dyDescent="0.15">
      <c r="A37" s="2" t="s">
        <v>64</v>
      </c>
      <c r="B37" s="4">
        <v>540</v>
      </c>
      <c r="C37" s="5">
        <v>10.77</v>
      </c>
      <c r="D37" s="4">
        <v>91</v>
      </c>
      <c r="E37" s="5">
        <v>4.3</v>
      </c>
      <c r="F37" s="4">
        <v>449</v>
      </c>
      <c r="G37" s="5">
        <v>15.54</v>
      </c>
      <c r="H37" s="4">
        <v>0</v>
      </c>
    </row>
    <row r="38" spans="1:8" x14ac:dyDescent="0.15">
      <c r="A38" s="2" t="s">
        <v>65</v>
      </c>
      <c r="B38" s="4">
        <v>2</v>
      </c>
      <c r="C38" s="5">
        <v>0.04</v>
      </c>
      <c r="D38" s="4">
        <v>0</v>
      </c>
      <c r="E38" s="5">
        <v>0</v>
      </c>
      <c r="F38" s="4">
        <v>2</v>
      </c>
      <c r="G38" s="5">
        <v>7.0000000000000007E-2</v>
      </c>
      <c r="H38" s="4">
        <v>0</v>
      </c>
    </row>
    <row r="39" spans="1:8" x14ac:dyDescent="0.15">
      <c r="A39" s="2" t="s">
        <v>66</v>
      </c>
      <c r="B39" s="4">
        <v>53</v>
      </c>
      <c r="C39" s="5">
        <v>1.06</v>
      </c>
      <c r="D39" s="4">
        <v>1</v>
      </c>
      <c r="E39" s="5">
        <v>0.05</v>
      </c>
      <c r="F39" s="4">
        <v>51</v>
      </c>
      <c r="G39" s="5">
        <v>1.76</v>
      </c>
      <c r="H39" s="4">
        <v>1</v>
      </c>
    </row>
    <row r="40" spans="1:8" x14ac:dyDescent="0.15">
      <c r="A40" s="2" t="s">
        <v>67</v>
      </c>
      <c r="B40" s="4">
        <v>118</v>
      </c>
      <c r="C40" s="5">
        <v>2.35</v>
      </c>
      <c r="D40" s="4">
        <v>15</v>
      </c>
      <c r="E40" s="5">
        <v>0.71</v>
      </c>
      <c r="F40" s="4">
        <v>103</v>
      </c>
      <c r="G40" s="5">
        <v>3.56</v>
      </c>
      <c r="H40" s="4">
        <v>0</v>
      </c>
    </row>
    <row r="41" spans="1:8" x14ac:dyDescent="0.15">
      <c r="A41" s="2" t="s">
        <v>68</v>
      </c>
      <c r="B41" s="4">
        <v>1089</v>
      </c>
      <c r="C41" s="5">
        <v>21.71</v>
      </c>
      <c r="D41" s="4">
        <v>454</v>
      </c>
      <c r="E41" s="5">
        <v>21.45</v>
      </c>
      <c r="F41" s="4">
        <v>635</v>
      </c>
      <c r="G41" s="5">
        <v>21.97</v>
      </c>
      <c r="H41" s="4">
        <v>0</v>
      </c>
    </row>
    <row r="42" spans="1:8" x14ac:dyDescent="0.15">
      <c r="A42" s="2" t="s">
        <v>69</v>
      </c>
      <c r="B42" s="4">
        <v>22</v>
      </c>
      <c r="C42" s="5">
        <v>0.44</v>
      </c>
      <c r="D42" s="4">
        <v>2</v>
      </c>
      <c r="E42" s="5">
        <v>0.09</v>
      </c>
      <c r="F42" s="4">
        <v>20</v>
      </c>
      <c r="G42" s="5">
        <v>0.69</v>
      </c>
      <c r="H42" s="4">
        <v>0</v>
      </c>
    </row>
    <row r="43" spans="1:8" x14ac:dyDescent="0.15">
      <c r="A43" s="2" t="s">
        <v>70</v>
      </c>
      <c r="B43" s="4">
        <v>522</v>
      </c>
      <c r="C43" s="5">
        <v>10.41</v>
      </c>
      <c r="D43" s="4">
        <v>169</v>
      </c>
      <c r="E43" s="5">
        <v>7.98</v>
      </c>
      <c r="F43" s="4">
        <v>351</v>
      </c>
      <c r="G43" s="5">
        <v>12.15</v>
      </c>
      <c r="H43" s="4">
        <v>2</v>
      </c>
    </row>
    <row r="44" spans="1:8" x14ac:dyDescent="0.15">
      <c r="A44" s="2" t="s">
        <v>71</v>
      </c>
      <c r="B44" s="4">
        <v>193</v>
      </c>
      <c r="C44" s="5">
        <v>3.85</v>
      </c>
      <c r="D44" s="4">
        <v>84</v>
      </c>
      <c r="E44" s="5">
        <v>3.97</v>
      </c>
      <c r="F44" s="4">
        <v>109</v>
      </c>
      <c r="G44" s="5">
        <v>3.77</v>
      </c>
      <c r="H44" s="4">
        <v>0</v>
      </c>
    </row>
    <row r="45" spans="1:8" x14ac:dyDescent="0.15">
      <c r="A45" s="2" t="s">
        <v>72</v>
      </c>
      <c r="B45" s="4">
        <v>688</v>
      </c>
      <c r="C45" s="5">
        <v>13.72</v>
      </c>
      <c r="D45" s="4">
        <v>541</v>
      </c>
      <c r="E45" s="5">
        <v>25.56</v>
      </c>
      <c r="F45" s="4">
        <v>146</v>
      </c>
      <c r="G45" s="5">
        <v>5.05</v>
      </c>
      <c r="H45" s="4">
        <v>1</v>
      </c>
    </row>
    <row r="46" spans="1:8" x14ac:dyDescent="0.15">
      <c r="A46" s="2" t="s">
        <v>73</v>
      </c>
      <c r="B46" s="4">
        <v>527</v>
      </c>
      <c r="C46" s="5">
        <v>10.51</v>
      </c>
      <c r="D46" s="4">
        <v>381</v>
      </c>
      <c r="E46" s="5">
        <v>18</v>
      </c>
      <c r="F46" s="4">
        <v>145</v>
      </c>
      <c r="G46" s="5">
        <v>5.0199999999999996</v>
      </c>
      <c r="H46" s="4">
        <v>1</v>
      </c>
    </row>
    <row r="47" spans="1:8" x14ac:dyDescent="0.15">
      <c r="A47" s="2" t="s">
        <v>74</v>
      </c>
      <c r="B47" s="4">
        <v>157</v>
      </c>
      <c r="C47" s="5">
        <v>3.13</v>
      </c>
      <c r="D47" s="4">
        <v>113</v>
      </c>
      <c r="E47" s="5">
        <v>5.34</v>
      </c>
      <c r="F47" s="4">
        <v>44</v>
      </c>
      <c r="G47" s="5">
        <v>1.52</v>
      </c>
      <c r="H47" s="4">
        <v>0</v>
      </c>
    </row>
    <row r="48" spans="1:8" x14ac:dyDescent="0.15">
      <c r="A48" s="2" t="s">
        <v>75</v>
      </c>
      <c r="B48" s="4">
        <v>192</v>
      </c>
      <c r="C48" s="5">
        <v>3.83</v>
      </c>
      <c r="D48" s="4">
        <v>132</v>
      </c>
      <c r="E48" s="5">
        <v>6.24</v>
      </c>
      <c r="F48" s="4">
        <v>57</v>
      </c>
      <c r="G48" s="5">
        <v>1.97</v>
      </c>
      <c r="H48" s="4">
        <v>3</v>
      </c>
    </row>
    <row r="49" spans="1:8" x14ac:dyDescent="0.15">
      <c r="A49" s="2" t="s">
        <v>76</v>
      </c>
      <c r="B49" s="4">
        <v>123</v>
      </c>
      <c r="C49" s="5">
        <v>2.4500000000000002</v>
      </c>
      <c r="D49" s="4">
        <v>19</v>
      </c>
      <c r="E49" s="5">
        <v>0.9</v>
      </c>
      <c r="F49" s="4">
        <v>104</v>
      </c>
      <c r="G49" s="5">
        <v>3.6</v>
      </c>
      <c r="H49" s="4">
        <v>0</v>
      </c>
    </row>
    <row r="50" spans="1:8" x14ac:dyDescent="0.15">
      <c r="A50" s="1" t="s">
        <v>3</v>
      </c>
      <c r="B50" s="4">
        <v>4538</v>
      </c>
      <c r="C50" s="5">
        <v>100</v>
      </c>
      <c r="D50" s="4">
        <v>2010</v>
      </c>
      <c r="E50" s="5">
        <v>99.99</v>
      </c>
      <c r="F50" s="4">
        <v>2516</v>
      </c>
      <c r="G50" s="5">
        <v>99.99</v>
      </c>
      <c r="H50" s="4">
        <v>12</v>
      </c>
    </row>
    <row r="51" spans="1:8" x14ac:dyDescent="0.15">
      <c r="A51" s="2" t="s">
        <v>62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63</v>
      </c>
      <c r="B52" s="4">
        <v>578</v>
      </c>
      <c r="C52" s="5">
        <v>12.74</v>
      </c>
      <c r="D52" s="4">
        <v>77</v>
      </c>
      <c r="E52" s="5">
        <v>3.83</v>
      </c>
      <c r="F52" s="4">
        <v>501</v>
      </c>
      <c r="G52" s="5">
        <v>19.91</v>
      </c>
      <c r="H52" s="4">
        <v>0</v>
      </c>
    </row>
    <row r="53" spans="1:8" x14ac:dyDescent="0.15">
      <c r="A53" s="2" t="s">
        <v>64</v>
      </c>
      <c r="B53" s="4">
        <v>187</v>
      </c>
      <c r="C53" s="5">
        <v>4.12</v>
      </c>
      <c r="D53" s="4">
        <v>32</v>
      </c>
      <c r="E53" s="5">
        <v>1.59</v>
      </c>
      <c r="F53" s="4">
        <v>155</v>
      </c>
      <c r="G53" s="5">
        <v>6.16</v>
      </c>
      <c r="H53" s="4">
        <v>0</v>
      </c>
    </row>
    <row r="54" spans="1:8" x14ac:dyDescent="0.15">
      <c r="A54" s="2" t="s">
        <v>65</v>
      </c>
      <c r="B54" s="4">
        <v>1</v>
      </c>
      <c r="C54" s="5">
        <v>0.02</v>
      </c>
      <c r="D54" s="4">
        <v>0</v>
      </c>
      <c r="E54" s="5">
        <v>0</v>
      </c>
      <c r="F54" s="4">
        <v>1</v>
      </c>
      <c r="G54" s="5">
        <v>0.04</v>
      </c>
      <c r="H54" s="4">
        <v>0</v>
      </c>
    </row>
    <row r="55" spans="1:8" x14ac:dyDescent="0.15">
      <c r="A55" s="2" t="s">
        <v>66</v>
      </c>
      <c r="B55" s="4">
        <v>63</v>
      </c>
      <c r="C55" s="5">
        <v>1.39</v>
      </c>
      <c r="D55" s="4">
        <v>1</v>
      </c>
      <c r="E55" s="5">
        <v>0.05</v>
      </c>
      <c r="F55" s="4">
        <v>62</v>
      </c>
      <c r="G55" s="5">
        <v>2.46</v>
      </c>
      <c r="H55" s="4">
        <v>0</v>
      </c>
    </row>
    <row r="56" spans="1:8" x14ac:dyDescent="0.15">
      <c r="A56" s="2" t="s">
        <v>67</v>
      </c>
      <c r="B56" s="4">
        <v>84</v>
      </c>
      <c r="C56" s="5">
        <v>1.85</v>
      </c>
      <c r="D56" s="4">
        <v>14</v>
      </c>
      <c r="E56" s="5">
        <v>0.7</v>
      </c>
      <c r="F56" s="4">
        <v>70</v>
      </c>
      <c r="G56" s="5">
        <v>2.78</v>
      </c>
      <c r="H56" s="4">
        <v>0</v>
      </c>
    </row>
    <row r="57" spans="1:8" x14ac:dyDescent="0.15">
      <c r="A57" s="2" t="s">
        <v>68</v>
      </c>
      <c r="B57" s="4">
        <v>949</v>
      </c>
      <c r="C57" s="5">
        <v>20.91</v>
      </c>
      <c r="D57" s="4">
        <v>345</v>
      </c>
      <c r="E57" s="5">
        <v>17.16</v>
      </c>
      <c r="F57" s="4">
        <v>603</v>
      </c>
      <c r="G57" s="5">
        <v>23.97</v>
      </c>
      <c r="H57" s="4">
        <v>1</v>
      </c>
    </row>
    <row r="58" spans="1:8" x14ac:dyDescent="0.15">
      <c r="A58" s="2" t="s">
        <v>69</v>
      </c>
      <c r="B58" s="4">
        <v>34</v>
      </c>
      <c r="C58" s="5">
        <v>0.75</v>
      </c>
      <c r="D58" s="4">
        <v>1</v>
      </c>
      <c r="E58" s="5">
        <v>0.05</v>
      </c>
      <c r="F58" s="4">
        <v>33</v>
      </c>
      <c r="G58" s="5">
        <v>1.31</v>
      </c>
      <c r="H58" s="4">
        <v>0</v>
      </c>
    </row>
    <row r="59" spans="1:8" x14ac:dyDescent="0.15">
      <c r="A59" s="2" t="s">
        <v>70</v>
      </c>
      <c r="B59" s="4">
        <v>791</v>
      </c>
      <c r="C59" s="5">
        <v>17.43</v>
      </c>
      <c r="D59" s="4">
        <v>435</v>
      </c>
      <c r="E59" s="5">
        <v>21.64</v>
      </c>
      <c r="F59" s="4">
        <v>355</v>
      </c>
      <c r="G59" s="5">
        <v>14.11</v>
      </c>
      <c r="H59" s="4">
        <v>1</v>
      </c>
    </row>
    <row r="60" spans="1:8" x14ac:dyDescent="0.15">
      <c r="A60" s="2" t="s">
        <v>71</v>
      </c>
      <c r="B60" s="4">
        <v>315</v>
      </c>
      <c r="C60" s="5">
        <v>6.94</v>
      </c>
      <c r="D60" s="4">
        <v>126</v>
      </c>
      <c r="E60" s="5">
        <v>6.27</v>
      </c>
      <c r="F60" s="4">
        <v>189</v>
      </c>
      <c r="G60" s="5">
        <v>7.51</v>
      </c>
      <c r="H60" s="4">
        <v>0</v>
      </c>
    </row>
    <row r="61" spans="1:8" x14ac:dyDescent="0.15">
      <c r="A61" s="2" t="s">
        <v>72</v>
      </c>
      <c r="B61" s="4">
        <v>563</v>
      </c>
      <c r="C61" s="5">
        <v>12.41</v>
      </c>
      <c r="D61" s="4">
        <v>434</v>
      </c>
      <c r="E61" s="5">
        <v>21.59</v>
      </c>
      <c r="F61" s="4">
        <v>129</v>
      </c>
      <c r="G61" s="5">
        <v>5.13</v>
      </c>
      <c r="H61" s="4">
        <v>0</v>
      </c>
    </row>
    <row r="62" spans="1:8" x14ac:dyDescent="0.15">
      <c r="A62" s="2" t="s">
        <v>73</v>
      </c>
      <c r="B62" s="4">
        <v>434</v>
      </c>
      <c r="C62" s="5">
        <v>9.56</v>
      </c>
      <c r="D62" s="4">
        <v>293</v>
      </c>
      <c r="E62" s="5">
        <v>14.58</v>
      </c>
      <c r="F62" s="4">
        <v>141</v>
      </c>
      <c r="G62" s="5">
        <v>5.6</v>
      </c>
      <c r="H62" s="4">
        <v>0</v>
      </c>
    </row>
    <row r="63" spans="1:8" x14ac:dyDescent="0.15">
      <c r="A63" s="2" t="s">
        <v>74</v>
      </c>
      <c r="B63" s="4">
        <v>147</v>
      </c>
      <c r="C63" s="5">
        <v>3.24</v>
      </c>
      <c r="D63" s="4">
        <v>84</v>
      </c>
      <c r="E63" s="5">
        <v>4.18</v>
      </c>
      <c r="F63" s="4">
        <v>63</v>
      </c>
      <c r="G63" s="5">
        <v>2.5</v>
      </c>
      <c r="H63" s="4">
        <v>0</v>
      </c>
    </row>
    <row r="64" spans="1:8" x14ac:dyDescent="0.15">
      <c r="A64" s="2" t="s">
        <v>75</v>
      </c>
      <c r="B64" s="4">
        <v>242</v>
      </c>
      <c r="C64" s="5">
        <v>5.33</v>
      </c>
      <c r="D64" s="4">
        <v>147</v>
      </c>
      <c r="E64" s="5">
        <v>7.31</v>
      </c>
      <c r="F64" s="4">
        <v>87</v>
      </c>
      <c r="G64" s="5">
        <v>3.46</v>
      </c>
      <c r="H64" s="4">
        <v>8</v>
      </c>
    </row>
    <row r="65" spans="1:8" x14ac:dyDescent="0.15">
      <c r="A65" s="2" t="s">
        <v>76</v>
      </c>
      <c r="B65" s="4">
        <v>150</v>
      </c>
      <c r="C65" s="5">
        <v>3.31</v>
      </c>
      <c r="D65" s="4">
        <v>21</v>
      </c>
      <c r="E65" s="5">
        <v>1.04</v>
      </c>
      <c r="F65" s="4">
        <v>127</v>
      </c>
      <c r="G65" s="5">
        <v>5.05</v>
      </c>
      <c r="H65" s="4">
        <v>2</v>
      </c>
    </row>
    <row r="66" spans="1:8" x14ac:dyDescent="0.15">
      <c r="A66" s="1" t="s">
        <v>4</v>
      </c>
      <c r="B66" s="4">
        <v>3352</v>
      </c>
      <c r="C66" s="5">
        <v>100</v>
      </c>
      <c r="D66" s="4">
        <v>1096</v>
      </c>
      <c r="E66" s="5">
        <v>100</v>
      </c>
      <c r="F66" s="4">
        <v>2254</v>
      </c>
      <c r="G66" s="5">
        <v>99.990000000000009</v>
      </c>
      <c r="H66" s="4">
        <v>2</v>
      </c>
    </row>
    <row r="67" spans="1:8" x14ac:dyDescent="0.15">
      <c r="A67" s="2" t="s">
        <v>62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63</v>
      </c>
      <c r="B68" s="4">
        <v>299</v>
      </c>
      <c r="C68" s="5">
        <v>8.92</v>
      </c>
      <c r="D68" s="4">
        <v>49</v>
      </c>
      <c r="E68" s="5">
        <v>4.47</v>
      </c>
      <c r="F68" s="4">
        <v>250</v>
      </c>
      <c r="G68" s="5">
        <v>11.09</v>
      </c>
      <c r="H68" s="4">
        <v>0</v>
      </c>
    </row>
    <row r="69" spans="1:8" x14ac:dyDescent="0.15">
      <c r="A69" s="2" t="s">
        <v>64</v>
      </c>
      <c r="B69" s="4">
        <v>153</v>
      </c>
      <c r="C69" s="5">
        <v>4.5599999999999996</v>
      </c>
      <c r="D69" s="4">
        <v>26</v>
      </c>
      <c r="E69" s="5">
        <v>2.37</v>
      </c>
      <c r="F69" s="4">
        <v>127</v>
      </c>
      <c r="G69" s="5">
        <v>5.63</v>
      </c>
      <c r="H69" s="4">
        <v>0</v>
      </c>
    </row>
    <row r="70" spans="1:8" x14ac:dyDescent="0.15">
      <c r="A70" s="2" t="s">
        <v>65</v>
      </c>
      <c r="B70" s="4">
        <v>3</v>
      </c>
      <c r="C70" s="5">
        <v>0.09</v>
      </c>
      <c r="D70" s="4">
        <v>0</v>
      </c>
      <c r="E70" s="5">
        <v>0</v>
      </c>
      <c r="F70" s="4">
        <v>3</v>
      </c>
      <c r="G70" s="5">
        <v>0.13</v>
      </c>
      <c r="H70" s="4">
        <v>0</v>
      </c>
    </row>
    <row r="71" spans="1:8" x14ac:dyDescent="0.15">
      <c r="A71" s="2" t="s">
        <v>66</v>
      </c>
      <c r="B71" s="4">
        <v>71</v>
      </c>
      <c r="C71" s="5">
        <v>2.12</v>
      </c>
      <c r="D71" s="4">
        <v>2</v>
      </c>
      <c r="E71" s="5">
        <v>0.18</v>
      </c>
      <c r="F71" s="4">
        <v>69</v>
      </c>
      <c r="G71" s="5">
        <v>3.06</v>
      </c>
      <c r="H71" s="4">
        <v>0</v>
      </c>
    </row>
    <row r="72" spans="1:8" x14ac:dyDescent="0.15">
      <c r="A72" s="2" t="s">
        <v>67</v>
      </c>
      <c r="B72" s="4">
        <v>23</v>
      </c>
      <c r="C72" s="5">
        <v>0.69</v>
      </c>
      <c r="D72" s="4">
        <v>7</v>
      </c>
      <c r="E72" s="5">
        <v>0.64</v>
      </c>
      <c r="F72" s="4">
        <v>16</v>
      </c>
      <c r="G72" s="5">
        <v>0.71</v>
      </c>
      <c r="H72" s="4">
        <v>0</v>
      </c>
    </row>
    <row r="73" spans="1:8" x14ac:dyDescent="0.15">
      <c r="A73" s="2" t="s">
        <v>68</v>
      </c>
      <c r="B73" s="4">
        <v>1031</v>
      </c>
      <c r="C73" s="5">
        <v>30.76</v>
      </c>
      <c r="D73" s="4">
        <v>170</v>
      </c>
      <c r="E73" s="5">
        <v>15.51</v>
      </c>
      <c r="F73" s="4">
        <v>860</v>
      </c>
      <c r="G73" s="5">
        <v>38.15</v>
      </c>
      <c r="H73" s="4">
        <v>1</v>
      </c>
    </row>
    <row r="74" spans="1:8" x14ac:dyDescent="0.15">
      <c r="A74" s="2" t="s">
        <v>69</v>
      </c>
      <c r="B74" s="4">
        <v>20</v>
      </c>
      <c r="C74" s="5">
        <v>0.6</v>
      </c>
      <c r="D74" s="4">
        <v>1</v>
      </c>
      <c r="E74" s="5">
        <v>0.09</v>
      </c>
      <c r="F74" s="4">
        <v>19</v>
      </c>
      <c r="G74" s="5">
        <v>0.84</v>
      </c>
      <c r="H74" s="4">
        <v>0</v>
      </c>
    </row>
    <row r="75" spans="1:8" x14ac:dyDescent="0.15">
      <c r="A75" s="2" t="s">
        <v>70</v>
      </c>
      <c r="B75" s="4">
        <v>440</v>
      </c>
      <c r="C75" s="5">
        <v>13.13</v>
      </c>
      <c r="D75" s="4">
        <v>168</v>
      </c>
      <c r="E75" s="5">
        <v>15.33</v>
      </c>
      <c r="F75" s="4">
        <v>272</v>
      </c>
      <c r="G75" s="5">
        <v>12.07</v>
      </c>
      <c r="H75" s="4">
        <v>0</v>
      </c>
    </row>
    <row r="76" spans="1:8" x14ac:dyDescent="0.15">
      <c r="A76" s="2" t="s">
        <v>71</v>
      </c>
      <c r="B76" s="4">
        <v>305</v>
      </c>
      <c r="C76" s="5">
        <v>9.1</v>
      </c>
      <c r="D76" s="4">
        <v>143</v>
      </c>
      <c r="E76" s="5">
        <v>13.05</v>
      </c>
      <c r="F76" s="4">
        <v>162</v>
      </c>
      <c r="G76" s="5">
        <v>7.19</v>
      </c>
      <c r="H76" s="4">
        <v>0</v>
      </c>
    </row>
    <row r="77" spans="1:8" x14ac:dyDescent="0.15">
      <c r="A77" s="2" t="s">
        <v>72</v>
      </c>
      <c r="B77" s="4">
        <v>335</v>
      </c>
      <c r="C77" s="5">
        <v>9.99</v>
      </c>
      <c r="D77" s="4">
        <v>218</v>
      </c>
      <c r="E77" s="5">
        <v>19.89</v>
      </c>
      <c r="F77" s="4">
        <v>117</v>
      </c>
      <c r="G77" s="5">
        <v>5.19</v>
      </c>
      <c r="H77" s="4">
        <v>0</v>
      </c>
    </row>
    <row r="78" spans="1:8" x14ac:dyDescent="0.15">
      <c r="A78" s="2" t="s">
        <v>73</v>
      </c>
      <c r="B78" s="4">
        <v>286</v>
      </c>
      <c r="C78" s="5">
        <v>8.5299999999999994</v>
      </c>
      <c r="D78" s="4">
        <v>161</v>
      </c>
      <c r="E78" s="5">
        <v>14.69</v>
      </c>
      <c r="F78" s="4">
        <v>125</v>
      </c>
      <c r="G78" s="5">
        <v>5.55</v>
      </c>
      <c r="H78" s="4">
        <v>0</v>
      </c>
    </row>
    <row r="79" spans="1:8" x14ac:dyDescent="0.15">
      <c r="A79" s="2" t="s">
        <v>74</v>
      </c>
      <c r="B79" s="4">
        <v>99</v>
      </c>
      <c r="C79" s="5">
        <v>2.95</v>
      </c>
      <c r="D79" s="4">
        <v>49</v>
      </c>
      <c r="E79" s="5">
        <v>4.47</v>
      </c>
      <c r="F79" s="4">
        <v>50</v>
      </c>
      <c r="G79" s="5">
        <v>2.2200000000000002</v>
      </c>
      <c r="H79" s="4">
        <v>0</v>
      </c>
    </row>
    <row r="80" spans="1:8" x14ac:dyDescent="0.15">
      <c r="A80" s="2" t="s">
        <v>75</v>
      </c>
      <c r="B80" s="4">
        <v>124</v>
      </c>
      <c r="C80" s="5">
        <v>3.7</v>
      </c>
      <c r="D80" s="4">
        <v>85</v>
      </c>
      <c r="E80" s="5">
        <v>7.76</v>
      </c>
      <c r="F80" s="4">
        <v>39</v>
      </c>
      <c r="G80" s="5">
        <v>1.73</v>
      </c>
      <c r="H80" s="4">
        <v>0</v>
      </c>
    </row>
    <row r="81" spans="1:8" x14ac:dyDescent="0.15">
      <c r="A81" s="2" t="s">
        <v>76</v>
      </c>
      <c r="B81" s="4">
        <v>163</v>
      </c>
      <c r="C81" s="5">
        <v>4.8600000000000003</v>
      </c>
      <c r="D81" s="4">
        <v>17</v>
      </c>
      <c r="E81" s="5">
        <v>1.55</v>
      </c>
      <c r="F81" s="4">
        <v>145</v>
      </c>
      <c r="G81" s="5">
        <v>6.43</v>
      </c>
      <c r="H81" s="4">
        <v>1</v>
      </c>
    </row>
    <row r="82" spans="1:8" x14ac:dyDescent="0.15">
      <c r="A82" s="1" t="s">
        <v>5</v>
      </c>
      <c r="B82" s="4">
        <v>7089</v>
      </c>
      <c r="C82" s="5">
        <v>100.01</v>
      </c>
      <c r="D82" s="4">
        <v>2856</v>
      </c>
      <c r="E82" s="5">
        <v>100.00999999999999</v>
      </c>
      <c r="F82" s="4">
        <v>4211</v>
      </c>
      <c r="G82" s="5">
        <v>100</v>
      </c>
      <c r="H82" s="4">
        <v>22</v>
      </c>
    </row>
    <row r="83" spans="1:8" x14ac:dyDescent="0.15">
      <c r="A83" s="2" t="s">
        <v>62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63</v>
      </c>
      <c r="B84" s="4">
        <v>455</v>
      </c>
      <c r="C84" s="5">
        <v>6.42</v>
      </c>
      <c r="D84" s="4">
        <v>48</v>
      </c>
      <c r="E84" s="5">
        <v>1.68</v>
      </c>
      <c r="F84" s="4">
        <v>407</v>
      </c>
      <c r="G84" s="5">
        <v>9.67</v>
      </c>
      <c r="H84" s="4">
        <v>0</v>
      </c>
    </row>
    <row r="85" spans="1:8" x14ac:dyDescent="0.15">
      <c r="A85" s="2" t="s">
        <v>64</v>
      </c>
      <c r="B85" s="4">
        <v>187</v>
      </c>
      <c r="C85" s="5">
        <v>2.64</v>
      </c>
      <c r="D85" s="4">
        <v>33</v>
      </c>
      <c r="E85" s="5">
        <v>1.1599999999999999</v>
      </c>
      <c r="F85" s="4">
        <v>154</v>
      </c>
      <c r="G85" s="5">
        <v>3.66</v>
      </c>
      <c r="H85" s="4">
        <v>0</v>
      </c>
    </row>
    <row r="86" spans="1:8" x14ac:dyDescent="0.15">
      <c r="A86" s="2" t="s">
        <v>65</v>
      </c>
      <c r="B86" s="4">
        <v>2</v>
      </c>
      <c r="C86" s="5">
        <v>0.03</v>
      </c>
      <c r="D86" s="4">
        <v>0</v>
      </c>
      <c r="E86" s="5">
        <v>0</v>
      </c>
      <c r="F86" s="4">
        <v>2</v>
      </c>
      <c r="G86" s="5">
        <v>0.05</v>
      </c>
      <c r="H86" s="4">
        <v>0</v>
      </c>
    </row>
    <row r="87" spans="1:8" x14ac:dyDescent="0.15">
      <c r="A87" s="2" t="s">
        <v>66</v>
      </c>
      <c r="B87" s="4">
        <v>134</v>
      </c>
      <c r="C87" s="5">
        <v>1.89</v>
      </c>
      <c r="D87" s="4">
        <v>7</v>
      </c>
      <c r="E87" s="5">
        <v>0.25</v>
      </c>
      <c r="F87" s="4">
        <v>126</v>
      </c>
      <c r="G87" s="5">
        <v>2.99</v>
      </c>
      <c r="H87" s="4">
        <v>1</v>
      </c>
    </row>
    <row r="88" spans="1:8" x14ac:dyDescent="0.15">
      <c r="A88" s="2" t="s">
        <v>67</v>
      </c>
      <c r="B88" s="4">
        <v>228</v>
      </c>
      <c r="C88" s="5">
        <v>3.22</v>
      </c>
      <c r="D88" s="4">
        <v>10</v>
      </c>
      <c r="E88" s="5">
        <v>0.35</v>
      </c>
      <c r="F88" s="4">
        <v>216</v>
      </c>
      <c r="G88" s="5">
        <v>5.13</v>
      </c>
      <c r="H88" s="4">
        <v>2</v>
      </c>
    </row>
    <row r="89" spans="1:8" x14ac:dyDescent="0.15">
      <c r="A89" s="2" t="s">
        <v>68</v>
      </c>
      <c r="B89" s="4">
        <v>1569</v>
      </c>
      <c r="C89" s="5">
        <v>22.13</v>
      </c>
      <c r="D89" s="4">
        <v>377</v>
      </c>
      <c r="E89" s="5">
        <v>13.2</v>
      </c>
      <c r="F89" s="4">
        <v>1190</v>
      </c>
      <c r="G89" s="5">
        <v>28.26</v>
      </c>
      <c r="H89" s="4">
        <v>2</v>
      </c>
    </row>
    <row r="90" spans="1:8" x14ac:dyDescent="0.15">
      <c r="A90" s="2" t="s">
        <v>69</v>
      </c>
      <c r="B90" s="4">
        <v>76</v>
      </c>
      <c r="C90" s="5">
        <v>1.07</v>
      </c>
      <c r="D90" s="4">
        <v>4</v>
      </c>
      <c r="E90" s="5">
        <v>0.14000000000000001</v>
      </c>
      <c r="F90" s="4">
        <v>72</v>
      </c>
      <c r="G90" s="5">
        <v>1.71</v>
      </c>
      <c r="H90" s="4">
        <v>0</v>
      </c>
    </row>
    <row r="91" spans="1:8" x14ac:dyDescent="0.15">
      <c r="A91" s="2" t="s">
        <v>70</v>
      </c>
      <c r="B91" s="4">
        <v>870</v>
      </c>
      <c r="C91" s="5">
        <v>12.27</v>
      </c>
      <c r="D91" s="4">
        <v>242</v>
      </c>
      <c r="E91" s="5">
        <v>8.4700000000000006</v>
      </c>
      <c r="F91" s="4">
        <v>625</v>
      </c>
      <c r="G91" s="5">
        <v>14.84</v>
      </c>
      <c r="H91" s="4">
        <v>3</v>
      </c>
    </row>
    <row r="92" spans="1:8" x14ac:dyDescent="0.15">
      <c r="A92" s="2" t="s">
        <v>71</v>
      </c>
      <c r="B92" s="4">
        <v>896</v>
      </c>
      <c r="C92" s="5">
        <v>12.64</v>
      </c>
      <c r="D92" s="4">
        <v>516</v>
      </c>
      <c r="E92" s="5">
        <v>18.07</v>
      </c>
      <c r="F92" s="4">
        <v>380</v>
      </c>
      <c r="G92" s="5">
        <v>9.02</v>
      </c>
      <c r="H92" s="4">
        <v>0</v>
      </c>
    </row>
    <row r="93" spans="1:8" x14ac:dyDescent="0.15">
      <c r="A93" s="2" t="s">
        <v>72</v>
      </c>
      <c r="B93" s="4">
        <v>1424</v>
      </c>
      <c r="C93" s="5">
        <v>20.09</v>
      </c>
      <c r="D93" s="4">
        <v>1007</v>
      </c>
      <c r="E93" s="5">
        <v>35.26</v>
      </c>
      <c r="F93" s="4">
        <v>417</v>
      </c>
      <c r="G93" s="5">
        <v>9.9</v>
      </c>
      <c r="H93" s="4">
        <v>0</v>
      </c>
    </row>
    <row r="94" spans="1:8" x14ac:dyDescent="0.15">
      <c r="A94" s="2" t="s">
        <v>73</v>
      </c>
      <c r="B94" s="4">
        <v>564</v>
      </c>
      <c r="C94" s="5">
        <v>7.96</v>
      </c>
      <c r="D94" s="4">
        <v>329</v>
      </c>
      <c r="E94" s="5">
        <v>11.52</v>
      </c>
      <c r="F94" s="4">
        <v>235</v>
      </c>
      <c r="G94" s="5">
        <v>5.58</v>
      </c>
      <c r="H94" s="4">
        <v>0</v>
      </c>
    </row>
    <row r="95" spans="1:8" x14ac:dyDescent="0.15">
      <c r="A95" s="2" t="s">
        <v>74</v>
      </c>
      <c r="B95" s="4">
        <v>136</v>
      </c>
      <c r="C95" s="5">
        <v>1.92</v>
      </c>
      <c r="D95" s="4">
        <v>70</v>
      </c>
      <c r="E95" s="5">
        <v>2.4500000000000002</v>
      </c>
      <c r="F95" s="4">
        <v>64</v>
      </c>
      <c r="G95" s="5">
        <v>1.52</v>
      </c>
      <c r="H95" s="4">
        <v>2</v>
      </c>
    </row>
    <row r="96" spans="1:8" x14ac:dyDescent="0.15">
      <c r="A96" s="2" t="s">
        <v>75</v>
      </c>
      <c r="B96" s="4">
        <v>304</v>
      </c>
      <c r="C96" s="5">
        <v>4.29</v>
      </c>
      <c r="D96" s="4">
        <v>191</v>
      </c>
      <c r="E96" s="5">
        <v>6.69</v>
      </c>
      <c r="F96" s="4">
        <v>110</v>
      </c>
      <c r="G96" s="5">
        <v>2.61</v>
      </c>
      <c r="H96" s="4">
        <v>3</v>
      </c>
    </row>
    <row r="97" spans="1:8" x14ac:dyDescent="0.15">
      <c r="A97" s="2" t="s">
        <v>76</v>
      </c>
      <c r="B97" s="4">
        <v>244</v>
      </c>
      <c r="C97" s="5">
        <v>3.44</v>
      </c>
      <c r="D97" s="4">
        <v>22</v>
      </c>
      <c r="E97" s="5">
        <v>0.77</v>
      </c>
      <c r="F97" s="4">
        <v>213</v>
      </c>
      <c r="G97" s="5">
        <v>5.0599999999999996</v>
      </c>
      <c r="H97" s="4">
        <v>9</v>
      </c>
    </row>
    <row r="98" spans="1:8" x14ac:dyDescent="0.15">
      <c r="A98" s="1" t="s">
        <v>6</v>
      </c>
      <c r="B98" s="4">
        <v>3479</v>
      </c>
      <c r="C98" s="5">
        <v>100</v>
      </c>
      <c r="D98" s="4">
        <v>1671</v>
      </c>
      <c r="E98" s="5">
        <v>100.01</v>
      </c>
      <c r="F98" s="4">
        <v>1808</v>
      </c>
      <c r="G98" s="5">
        <v>100</v>
      </c>
      <c r="H98" s="4">
        <v>0</v>
      </c>
    </row>
    <row r="99" spans="1:8" x14ac:dyDescent="0.15">
      <c r="A99" s="2" t="s">
        <v>62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63</v>
      </c>
      <c r="B100" s="4">
        <v>465</v>
      </c>
      <c r="C100" s="5">
        <v>13.37</v>
      </c>
      <c r="D100" s="4">
        <v>57</v>
      </c>
      <c r="E100" s="5">
        <v>3.41</v>
      </c>
      <c r="F100" s="4">
        <v>408</v>
      </c>
      <c r="G100" s="5">
        <v>22.57</v>
      </c>
      <c r="H100" s="4">
        <v>0</v>
      </c>
    </row>
    <row r="101" spans="1:8" x14ac:dyDescent="0.15">
      <c r="A101" s="2" t="s">
        <v>64</v>
      </c>
      <c r="B101" s="4">
        <v>241</v>
      </c>
      <c r="C101" s="5">
        <v>6.93</v>
      </c>
      <c r="D101" s="4">
        <v>49</v>
      </c>
      <c r="E101" s="5">
        <v>2.93</v>
      </c>
      <c r="F101" s="4">
        <v>192</v>
      </c>
      <c r="G101" s="5">
        <v>10.62</v>
      </c>
      <c r="H101" s="4">
        <v>0</v>
      </c>
    </row>
    <row r="102" spans="1:8" x14ac:dyDescent="0.15">
      <c r="A102" s="2" t="s">
        <v>65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66</v>
      </c>
      <c r="B103" s="4">
        <v>29</v>
      </c>
      <c r="C103" s="5">
        <v>0.83</v>
      </c>
      <c r="D103" s="4">
        <v>1</v>
      </c>
      <c r="E103" s="5">
        <v>0.06</v>
      </c>
      <c r="F103" s="4">
        <v>28</v>
      </c>
      <c r="G103" s="5">
        <v>1.55</v>
      </c>
      <c r="H103" s="4">
        <v>0</v>
      </c>
    </row>
    <row r="104" spans="1:8" x14ac:dyDescent="0.15">
      <c r="A104" s="2" t="s">
        <v>67</v>
      </c>
      <c r="B104" s="4">
        <v>29</v>
      </c>
      <c r="C104" s="5">
        <v>0.83</v>
      </c>
      <c r="D104" s="4">
        <v>15</v>
      </c>
      <c r="E104" s="5">
        <v>0.9</v>
      </c>
      <c r="F104" s="4">
        <v>14</v>
      </c>
      <c r="G104" s="5">
        <v>0.77</v>
      </c>
      <c r="H104" s="4">
        <v>0</v>
      </c>
    </row>
    <row r="105" spans="1:8" x14ac:dyDescent="0.15">
      <c r="A105" s="2" t="s">
        <v>68</v>
      </c>
      <c r="B105" s="4">
        <v>812</v>
      </c>
      <c r="C105" s="5">
        <v>23.34</v>
      </c>
      <c r="D105" s="4">
        <v>327</v>
      </c>
      <c r="E105" s="5">
        <v>19.57</v>
      </c>
      <c r="F105" s="4">
        <v>485</v>
      </c>
      <c r="G105" s="5">
        <v>26.83</v>
      </c>
      <c r="H105" s="4">
        <v>0</v>
      </c>
    </row>
    <row r="106" spans="1:8" x14ac:dyDescent="0.15">
      <c r="A106" s="2" t="s">
        <v>69</v>
      </c>
      <c r="B106" s="4">
        <v>18</v>
      </c>
      <c r="C106" s="5">
        <v>0.52</v>
      </c>
      <c r="D106" s="4">
        <v>2</v>
      </c>
      <c r="E106" s="5">
        <v>0.12</v>
      </c>
      <c r="F106" s="4">
        <v>16</v>
      </c>
      <c r="G106" s="5">
        <v>0.88</v>
      </c>
      <c r="H106" s="4">
        <v>0</v>
      </c>
    </row>
    <row r="107" spans="1:8" x14ac:dyDescent="0.15">
      <c r="A107" s="2" t="s">
        <v>70</v>
      </c>
      <c r="B107" s="4">
        <v>455</v>
      </c>
      <c r="C107" s="5">
        <v>13.08</v>
      </c>
      <c r="D107" s="4">
        <v>222</v>
      </c>
      <c r="E107" s="5">
        <v>13.29</v>
      </c>
      <c r="F107" s="4">
        <v>233</v>
      </c>
      <c r="G107" s="5">
        <v>12.89</v>
      </c>
      <c r="H107" s="4">
        <v>0</v>
      </c>
    </row>
    <row r="108" spans="1:8" x14ac:dyDescent="0.15">
      <c r="A108" s="2" t="s">
        <v>71</v>
      </c>
      <c r="B108" s="4">
        <v>143</v>
      </c>
      <c r="C108" s="5">
        <v>4.1100000000000003</v>
      </c>
      <c r="D108" s="4">
        <v>56</v>
      </c>
      <c r="E108" s="5">
        <v>3.35</v>
      </c>
      <c r="F108" s="4">
        <v>87</v>
      </c>
      <c r="G108" s="5">
        <v>4.8099999999999996</v>
      </c>
      <c r="H108" s="4">
        <v>0</v>
      </c>
    </row>
    <row r="109" spans="1:8" x14ac:dyDescent="0.15">
      <c r="A109" s="2" t="s">
        <v>72</v>
      </c>
      <c r="B109" s="4">
        <v>523</v>
      </c>
      <c r="C109" s="5">
        <v>15.03</v>
      </c>
      <c r="D109" s="4">
        <v>414</v>
      </c>
      <c r="E109" s="5">
        <v>24.78</v>
      </c>
      <c r="F109" s="4">
        <v>109</v>
      </c>
      <c r="G109" s="5">
        <v>6.03</v>
      </c>
      <c r="H109" s="4">
        <v>0</v>
      </c>
    </row>
    <row r="110" spans="1:8" x14ac:dyDescent="0.15">
      <c r="A110" s="2" t="s">
        <v>73</v>
      </c>
      <c r="B110" s="4">
        <v>432</v>
      </c>
      <c r="C110" s="5">
        <v>12.42</v>
      </c>
      <c r="D110" s="4">
        <v>324</v>
      </c>
      <c r="E110" s="5">
        <v>19.39</v>
      </c>
      <c r="F110" s="4">
        <v>108</v>
      </c>
      <c r="G110" s="5">
        <v>5.97</v>
      </c>
      <c r="H110" s="4">
        <v>0</v>
      </c>
    </row>
    <row r="111" spans="1:8" x14ac:dyDescent="0.15">
      <c r="A111" s="2" t="s">
        <v>74</v>
      </c>
      <c r="B111" s="4">
        <v>91</v>
      </c>
      <c r="C111" s="5">
        <v>2.62</v>
      </c>
      <c r="D111" s="4">
        <v>66</v>
      </c>
      <c r="E111" s="5">
        <v>3.95</v>
      </c>
      <c r="F111" s="4">
        <v>25</v>
      </c>
      <c r="G111" s="5">
        <v>1.38</v>
      </c>
      <c r="H111" s="4">
        <v>0</v>
      </c>
    </row>
    <row r="112" spans="1:8" x14ac:dyDescent="0.15">
      <c r="A112" s="2" t="s">
        <v>75</v>
      </c>
      <c r="B112" s="4">
        <v>148</v>
      </c>
      <c r="C112" s="5">
        <v>4.25</v>
      </c>
      <c r="D112" s="4">
        <v>107</v>
      </c>
      <c r="E112" s="5">
        <v>6.4</v>
      </c>
      <c r="F112" s="4">
        <v>41</v>
      </c>
      <c r="G112" s="5">
        <v>2.27</v>
      </c>
      <c r="H112" s="4">
        <v>0</v>
      </c>
    </row>
    <row r="113" spans="1:8" x14ac:dyDescent="0.15">
      <c r="A113" s="2" t="s">
        <v>76</v>
      </c>
      <c r="B113" s="4">
        <v>93</v>
      </c>
      <c r="C113" s="5">
        <v>2.67</v>
      </c>
      <c r="D113" s="4">
        <v>31</v>
      </c>
      <c r="E113" s="5">
        <v>1.86</v>
      </c>
      <c r="F113" s="4">
        <v>62</v>
      </c>
      <c r="G113" s="5">
        <v>3.43</v>
      </c>
      <c r="H113" s="4">
        <v>0</v>
      </c>
    </row>
    <row r="114" spans="1:8" x14ac:dyDescent="0.15">
      <c r="A114" s="1" t="s">
        <v>7</v>
      </c>
      <c r="B114" s="4">
        <v>2889</v>
      </c>
      <c r="C114" s="5">
        <v>100.02</v>
      </c>
      <c r="D114" s="4">
        <v>1371</v>
      </c>
      <c r="E114" s="5">
        <v>100.00000000000001</v>
      </c>
      <c r="F114" s="4">
        <v>1518</v>
      </c>
      <c r="G114" s="5">
        <v>99.999999999999986</v>
      </c>
      <c r="H114" s="4">
        <v>0</v>
      </c>
    </row>
    <row r="115" spans="1:8" x14ac:dyDescent="0.15">
      <c r="A115" s="2" t="s">
        <v>62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63</v>
      </c>
      <c r="B116" s="4">
        <v>441</v>
      </c>
      <c r="C116" s="5">
        <v>15.26</v>
      </c>
      <c r="D116" s="4">
        <v>64</v>
      </c>
      <c r="E116" s="5">
        <v>4.67</v>
      </c>
      <c r="F116" s="4">
        <v>377</v>
      </c>
      <c r="G116" s="5">
        <v>24.84</v>
      </c>
      <c r="H116" s="4">
        <v>0</v>
      </c>
    </row>
    <row r="117" spans="1:8" x14ac:dyDescent="0.15">
      <c r="A117" s="2" t="s">
        <v>64</v>
      </c>
      <c r="B117" s="4">
        <v>155</v>
      </c>
      <c r="C117" s="5">
        <v>5.37</v>
      </c>
      <c r="D117" s="4">
        <v>33</v>
      </c>
      <c r="E117" s="5">
        <v>2.41</v>
      </c>
      <c r="F117" s="4">
        <v>122</v>
      </c>
      <c r="G117" s="5">
        <v>8.0399999999999991</v>
      </c>
      <c r="H117" s="4">
        <v>0</v>
      </c>
    </row>
    <row r="118" spans="1:8" x14ac:dyDescent="0.15">
      <c r="A118" s="2" t="s">
        <v>65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66</v>
      </c>
      <c r="B119" s="4">
        <v>38</v>
      </c>
      <c r="C119" s="5">
        <v>1.32</v>
      </c>
      <c r="D119" s="4">
        <v>2</v>
      </c>
      <c r="E119" s="5">
        <v>0.15</v>
      </c>
      <c r="F119" s="4">
        <v>36</v>
      </c>
      <c r="G119" s="5">
        <v>2.37</v>
      </c>
      <c r="H119" s="4">
        <v>0</v>
      </c>
    </row>
    <row r="120" spans="1:8" x14ac:dyDescent="0.15">
      <c r="A120" s="2" t="s">
        <v>67</v>
      </c>
      <c r="B120" s="4">
        <v>35</v>
      </c>
      <c r="C120" s="5">
        <v>1.21</v>
      </c>
      <c r="D120" s="4">
        <v>18</v>
      </c>
      <c r="E120" s="5">
        <v>1.31</v>
      </c>
      <c r="F120" s="4">
        <v>17</v>
      </c>
      <c r="G120" s="5">
        <v>1.1200000000000001</v>
      </c>
      <c r="H120" s="4">
        <v>0</v>
      </c>
    </row>
    <row r="121" spans="1:8" x14ac:dyDescent="0.15">
      <c r="A121" s="2" t="s">
        <v>68</v>
      </c>
      <c r="B121" s="4">
        <v>630</v>
      </c>
      <c r="C121" s="5">
        <v>21.81</v>
      </c>
      <c r="D121" s="4">
        <v>273</v>
      </c>
      <c r="E121" s="5">
        <v>19.91</v>
      </c>
      <c r="F121" s="4">
        <v>357</v>
      </c>
      <c r="G121" s="5">
        <v>23.52</v>
      </c>
      <c r="H121" s="4">
        <v>0</v>
      </c>
    </row>
    <row r="122" spans="1:8" x14ac:dyDescent="0.15">
      <c r="A122" s="2" t="s">
        <v>69</v>
      </c>
      <c r="B122" s="4">
        <v>19</v>
      </c>
      <c r="C122" s="5">
        <v>0.66</v>
      </c>
      <c r="D122" s="4">
        <v>3</v>
      </c>
      <c r="E122" s="5">
        <v>0.22</v>
      </c>
      <c r="F122" s="4">
        <v>16</v>
      </c>
      <c r="G122" s="5">
        <v>1.05</v>
      </c>
      <c r="H122" s="4">
        <v>0</v>
      </c>
    </row>
    <row r="123" spans="1:8" x14ac:dyDescent="0.15">
      <c r="A123" s="2" t="s">
        <v>70</v>
      </c>
      <c r="B123" s="4">
        <v>394</v>
      </c>
      <c r="C123" s="5">
        <v>13.64</v>
      </c>
      <c r="D123" s="4">
        <v>203</v>
      </c>
      <c r="E123" s="5">
        <v>14.81</v>
      </c>
      <c r="F123" s="4">
        <v>191</v>
      </c>
      <c r="G123" s="5">
        <v>12.58</v>
      </c>
      <c r="H123" s="4">
        <v>0</v>
      </c>
    </row>
    <row r="124" spans="1:8" x14ac:dyDescent="0.15">
      <c r="A124" s="2" t="s">
        <v>71</v>
      </c>
      <c r="B124" s="4">
        <v>140</v>
      </c>
      <c r="C124" s="5">
        <v>4.8499999999999996</v>
      </c>
      <c r="D124" s="4">
        <v>51</v>
      </c>
      <c r="E124" s="5">
        <v>3.72</v>
      </c>
      <c r="F124" s="4">
        <v>89</v>
      </c>
      <c r="G124" s="5">
        <v>5.86</v>
      </c>
      <c r="H124" s="4">
        <v>0</v>
      </c>
    </row>
    <row r="125" spans="1:8" x14ac:dyDescent="0.15">
      <c r="A125" s="2" t="s">
        <v>72</v>
      </c>
      <c r="B125" s="4">
        <v>348</v>
      </c>
      <c r="C125" s="5">
        <v>12.05</v>
      </c>
      <c r="D125" s="4">
        <v>269</v>
      </c>
      <c r="E125" s="5">
        <v>19.62</v>
      </c>
      <c r="F125" s="4">
        <v>79</v>
      </c>
      <c r="G125" s="5">
        <v>5.2</v>
      </c>
      <c r="H125" s="4">
        <v>0</v>
      </c>
    </row>
    <row r="126" spans="1:8" x14ac:dyDescent="0.15">
      <c r="A126" s="2" t="s">
        <v>73</v>
      </c>
      <c r="B126" s="4">
        <v>360</v>
      </c>
      <c r="C126" s="5">
        <v>12.46</v>
      </c>
      <c r="D126" s="4">
        <v>270</v>
      </c>
      <c r="E126" s="5">
        <v>19.690000000000001</v>
      </c>
      <c r="F126" s="4">
        <v>90</v>
      </c>
      <c r="G126" s="5">
        <v>5.93</v>
      </c>
      <c r="H126" s="4">
        <v>0</v>
      </c>
    </row>
    <row r="127" spans="1:8" x14ac:dyDescent="0.15">
      <c r="A127" s="2" t="s">
        <v>74</v>
      </c>
      <c r="B127" s="4">
        <v>98</v>
      </c>
      <c r="C127" s="5">
        <v>3.39</v>
      </c>
      <c r="D127" s="4">
        <v>66</v>
      </c>
      <c r="E127" s="5">
        <v>4.8099999999999996</v>
      </c>
      <c r="F127" s="4">
        <v>32</v>
      </c>
      <c r="G127" s="5">
        <v>2.11</v>
      </c>
      <c r="H127" s="4">
        <v>0</v>
      </c>
    </row>
    <row r="128" spans="1:8" x14ac:dyDescent="0.15">
      <c r="A128" s="2" t="s">
        <v>75</v>
      </c>
      <c r="B128" s="4">
        <v>162</v>
      </c>
      <c r="C128" s="5">
        <v>5.61</v>
      </c>
      <c r="D128" s="4">
        <v>104</v>
      </c>
      <c r="E128" s="5">
        <v>7.59</v>
      </c>
      <c r="F128" s="4">
        <v>58</v>
      </c>
      <c r="G128" s="5">
        <v>3.82</v>
      </c>
      <c r="H128" s="4">
        <v>0</v>
      </c>
    </row>
    <row r="129" spans="1:8" x14ac:dyDescent="0.15">
      <c r="A129" s="2" t="s">
        <v>76</v>
      </c>
      <c r="B129" s="4">
        <v>69</v>
      </c>
      <c r="C129" s="5">
        <v>2.39</v>
      </c>
      <c r="D129" s="4">
        <v>15</v>
      </c>
      <c r="E129" s="5">
        <v>1.0900000000000001</v>
      </c>
      <c r="F129" s="4">
        <v>54</v>
      </c>
      <c r="G129" s="5">
        <v>3.56</v>
      </c>
      <c r="H129" s="4">
        <v>0</v>
      </c>
    </row>
    <row r="130" spans="1:8" x14ac:dyDescent="0.15">
      <c r="A130" s="1" t="s">
        <v>8</v>
      </c>
      <c r="B130" s="4">
        <v>2269</v>
      </c>
      <c r="C130" s="5">
        <v>99.999999999999986</v>
      </c>
      <c r="D130" s="4">
        <v>977</v>
      </c>
      <c r="E130" s="5">
        <v>100</v>
      </c>
      <c r="F130" s="4">
        <v>1287</v>
      </c>
      <c r="G130" s="5">
        <v>99.999999999999972</v>
      </c>
      <c r="H130" s="4">
        <v>5</v>
      </c>
    </row>
    <row r="131" spans="1:8" x14ac:dyDescent="0.15">
      <c r="A131" s="2" t="s">
        <v>62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63</v>
      </c>
      <c r="B132" s="4">
        <v>336</v>
      </c>
      <c r="C132" s="5">
        <v>14.81</v>
      </c>
      <c r="D132" s="4">
        <v>42</v>
      </c>
      <c r="E132" s="5">
        <v>4.3</v>
      </c>
      <c r="F132" s="4">
        <v>293</v>
      </c>
      <c r="G132" s="5">
        <v>22.77</v>
      </c>
      <c r="H132" s="4">
        <v>1</v>
      </c>
    </row>
    <row r="133" spans="1:8" x14ac:dyDescent="0.15">
      <c r="A133" s="2" t="s">
        <v>64</v>
      </c>
      <c r="B133" s="4">
        <v>101</v>
      </c>
      <c r="C133" s="5">
        <v>4.45</v>
      </c>
      <c r="D133" s="4">
        <v>19</v>
      </c>
      <c r="E133" s="5">
        <v>1.94</v>
      </c>
      <c r="F133" s="4">
        <v>82</v>
      </c>
      <c r="G133" s="5">
        <v>6.37</v>
      </c>
      <c r="H133" s="4">
        <v>0</v>
      </c>
    </row>
    <row r="134" spans="1:8" x14ac:dyDescent="0.15">
      <c r="A134" s="2" t="s">
        <v>65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66</v>
      </c>
      <c r="B135" s="4">
        <v>32</v>
      </c>
      <c r="C135" s="5">
        <v>1.41</v>
      </c>
      <c r="D135" s="4">
        <v>0</v>
      </c>
      <c r="E135" s="5">
        <v>0</v>
      </c>
      <c r="F135" s="4">
        <v>32</v>
      </c>
      <c r="G135" s="5">
        <v>2.4900000000000002</v>
      </c>
      <c r="H135" s="4">
        <v>0</v>
      </c>
    </row>
    <row r="136" spans="1:8" x14ac:dyDescent="0.15">
      <c r="A136" s="2" t="s">
        <v>67</v>
      </c>
      <c r="B136" s="4">
        <v>34</v>
      </c>
      <c r="C136" s="5">
        <v>1.5</v>
      </c>
      <c r="D136" s="4">
        <v>11</v>
      </c>
      <c r="E136" s="5">
        <v>1.1299999999999999</v>
      </c>
      <c r="F136" s="4">
        <v>23</v>
      </c>
      <c r="G136" s="5">
        <v>1.79</v>
      </c>
      <c r="H136" s="4">
        <v>0</v>
      </c>
    </row>
    <row r="137" spans="1:8" x14ac:dyDescent="0.15">
      <c r="A137" s="2" t="s">
        <v>68</v>
      </c>
      <c r="B137" s="4">
        <v>460</v>
      </c>
      <c r="C137" s="5">
        <v>20.27</v>
      </c>
      <c r="D137" s="4">
        <v>177</v>
      </c>
      <c r="E137" s="5">
        <v>18.12</v>
      </c>
      <c r="F137" s="4">
        <v>283</v>
      </c>
      <c r="G137" s="5">
        <v>21.99</v>
      </c>
      <c r="H137" s="4">
        <v>0</v>
      </c>
    </row>
    <row r="138" spans="1:8" x14ac:dyDescent="0.15">
      <c r="A138" s="2" t="s">
        <v>69</v>
      </c>
      <c r="B138" s="4">
        <v>8</v>
      </c>
      <c r="C138" s="5">
        <v>0.35</v>
      </c>
      <c r="D138" s="4">
        <v>0</v>
      </c>
      <c r="E138" s="5">
        <v>0</v>
      </c>
      <c r="F138" s="4">
        <v>8</v>
      </c>
      <c r="G138" s="5">
        <v>0.62</v>
      </c>
      <c r="H138" s="4">
        <v>0</v>
      </c>
    </row>
    <row r="139" spans="1:8" x14ac:dyDescent="0.15">
      <c r="A139" s="2" t="s">
        <v>70</v>
      </c>
      <c r="B139" s="4">
        <v>307</v>
      </c>
      <c r="C139" s="5">
        <v>13.53</v>
      </c>
      <c r="D139" s="4">
        <v>113</v>
      </c>
      <c r="E139" s="5">
        <v>11.57</v>
      </c>
      <c r="F139" s="4">
        <v>193</v>
      </c>
      <c r="G139" s="5">
        <v>15</v>
      </c>
      <c r="H139" s="4">
        <v>1</v>
      </c>
    </row>
    <row r="140" spans="1:8" x14ac:dyDescent="0.15">
      <c r="A140" s="2" t="s">
        <v>71</v>
      </c>
      <c r="B140" s="4">
        <v>128</v>
      </c>
      <c r="C140" s="5">
        <v>5.64</v>
      </c>
      <c r="D140" s="4">
        <v>43</v>
      </c>
      <c r="E140" s="5">
        <v>4.4000000000000004</v>
      </c>
      <c r="F140" s="4">
        <v>85</v>
      </c>
      <c r="G140" s="5">
        <v>6.6</v>
      </c>
      <c r="H140" s="4">
        <v>0</v>
      </c>
    </row>
    <row r="141" spans="1:8" x14ac:dyDescent="0.15">
      <c r="A141" s="2" t="s">
        <v>72</v>
      </c>
      <c r="B141" s="4">
        <v>308</v>
      </c>
      <c r="C141" s="5">
        <v>13.57</v>
      </c>
      <c r="D141" s="4">
        <v>235</v>
      </c>
      <c r="E141" s="5">
        <v>24.05</v>
      </c>
      <c r="F141" s="4">
        <v>72</v>
      </c>
      <c r="G141" s="5">
        <v>5.59</v>
      </c>
      <c r="H141" s="4">
        <v>1</v>
      </c>
    </row>
    <row r="142" spans="1:8" x14ac:dyDescent="0.15">
      <c r="A142" s="2" t="s">
        <v>73</v>
      </c>
      <c r="B142" s="4">
        <v>284</v>
      </c>
      <c r="C142" s="5">
        <v>12.52</v>
      </c>
      <c r="D142" s="4">
        <v>188</v>
      </c>
      <c r="E142" s="5">
        <v>19.239999999999998</v>
      </c>
      <c r="F142" s="4">
        <v>96</v>
      </c>
      <c r="G142" s="5">
        <v>7.46</v>
      </c>
      <c r="H142" s="4">
        <v>0</v>
      </c>
    </row>
    <row r="143" spans="1:8" x14ac:dyDescent="0.15">
      <c r="A143" s="2" t="s">
        <v>74</v>
      </c>
      <c r="B143" s="4">
        <v>78</v>
      </c>
      <c r="C143" s="5">
        <v>3.44</v>
      </c>
      <c r="D143" s="4">
        <v>61</v>
      </c>
      <c r="E143" s="5">
        <v>6.24</v>
      </c>
      <c r="F143" s="4">
        <v>17</v>
      </c>
      <c r="G143" s="5">
        <v>1.32</v>
      </c>
      <c r="H143" s="4">
        <v>0</v>
      </c>
    </row>
    <row r="144" spans="1:8" x14ac:dyDescent="0.15">
      <c r="A144" s="2" t="s">
        <v>75</v>
      </c>
      <c r="B144" s="4">
        <v>127</v>
      </c>
      <c r="C144" s="5">
        <v>5.6</v>
      </c>
      <c r="D144" s="4">
        <v>79</v>
      </c>
      <c r="E144" s="5">
        <v>8.09</v>
      </c>
      <c r="F144" s="4">
        <v>46</v>
      </c>
      <c r="G144" s="5">
        <v>3.57</v>
      </c>
      <c r="H144" s="4">
        <v>2</v>
      </c>
    </row>
    <row r="145" spans="1:8" x14ac:dyDescent="0.15">
      <c r="A145" s="2" t="s">
        <v>76</v>
      </c>
      <c r="B145" s="4">
        <v>66</v>
      </c>
      <c r="C145" s="5">
        <v>2.91</v>
      </c>
      <c r="D145" s="4">
        <v>9</v>
      </c>
      <c r="E145" s="5">
        <v>0.92</v>
      </c>
      <c r="F145" s="4">
        <v>57</v>
      </c>
      <c r="G145" s="5">
        <v>4.43</v>
      </c>
      <c r="H145" s="4">
        <v>0</v>
      </c>
    </row>
    <row r="146" spans="1:8" x14ac:dyDescent="0.15">
      <c r="A146" s="1" t="s">
        <v>9</v>
      </c>
      <c r="B146" s="4">
        <v>2571</v>
      </c>
      <c r="C146" s="5">
        <v>100.01</v>
      </c>
      <c r="D146" s="4">
        <v>1104</v>
      </c>
      <c r="E146" s="5">
        <v>100.00999999999999</v>
      </c>
      <c r="F146" s="4">
        <v>1464</v>
      </c>
      <c r="G146" s="5">
        <v>100.00000000000001</v>
      </c>
      <c r="H146" s="4">
        <v>3</v>
      </c>
    </row>
    <row r="147" spans="1:8" x14ac:dyDescent="0.15">
      <c r="A147" s="2" t="s">
        <v>62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63</v>
      </c>
      <c r="B148" s="4">
        <v>287</v>
      </c>
      <c r="C148" s="5">
        <v>11.16</v>
      </c>
      <c r="D148" s="4">
        <v>45</v>
      </c>
      <c r="E148" s="5">
        <v>4.08</v>
      </c>
      <c r="F148" s="4">
        <v>241</v>
      </c>
      <c r="G148" s="5">
        <v>16.46</v>
      </c>
      <c r="H148" s="4">
        <v>1</v>
      </c>
    </row>
    <row r="149" spans="1:8" x14ac:dyDescent="0.15">
      <c r="A149" s="2" t="s">
        <v>64</v>
      </c>
      <c r="B149" s="4">
        <v>169</v>
      </c>
      <c r="C149" s="5">
        <v>6.57</v>
      </c>
      <c r="D149" s="4">
        <v>9</v>
      </c>
      <c r="E149" s="5">
        <v>0.82</v>
      </c>
      <c r="F149" s="4">
        <v>160</v>
      </c>
      <c r="G149" s="5">
        <v>10.93</v>
      </c>
      <c r="H149" s="4">
        <v>0</v>
      </c>
    </row>
    <row r="150" spans="1:8" x14ac:dyDescent="0.15">
      <c r="A150" s="2" t="s">
        <v>65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66</v>
      </c>
      <c r="B151" s="4">
        <v>38</v>
      </c>
      <c r="C151" s="5">
        <v>1.48</v>
      </c>
      <c r="D151" s="4">
        <v>1</v>
      </c>
      <c r="E151" s="5">
        <v>0.09</v>
      </c>
      <c r="F151" s="4">
        <v>37</v>
      </c>
      <c r="G151" s="5">
        <v>2.5299999999999998</v>
      </c>
      <c r="H151" s="4">
        <v>0</v>
      </c>
    </row>
    <row r="152" spans="1:8" x14ac:dyDescent="0.15">
      <c r="A152" s="2" t="s">
        <v>67</v>
      </c>
      <c r="B152" s="4">
        <v>38</v>
      </c>
      <c r="C152" s="5">
        <v>1.48</v>
      </c>
      <c r="D152" s="4">
        <v>9</v>
      </c>
      <c r="E152" s="5">
        <v>0.82</v>
      </c>
      <c r="F152" s="4">
        <v>29</v>
      </c>
      <c r="G152" s="5">
        <v>1.98</v>
      </c>
      <c r="H152" s="4">
        <v>0</v>
      </c>
    </row>
    <row r="153" spans="1:8" x14ac:dyDescent="0.15">
      <c r="A153" s="2" t="s">
        <v>68</v>
      </c>
      <c r="B153" s="4">
        <v>608</v>
      </c>
      <c r="C153" s="5">
        <v>23.65</v>
      </c>
      <c r="D153" s="4">
        <v>186</v>
      </c>
      <c r="E153" s="5">
        <v>16.850000000000001</v>
      </c>
      <c r="F153" s="4">
        <v>421</v>
      </c>
      <c r="G153" s="5">
        <v>28.76</v>
      </c>
      <c r="H153" s="4">
        <v>1</v>
      </c>
    </row>
    <row r="154" spans="1:8" x14ac:dyDescent="0.15">
      <c r="A154" s="2" t="s">
        <v>69</v>
      </c>
      <c r="B154" s="4">
        <v>16</v>
      </c>
      <c r="C154" s="5">
        <v>0.62</v>
      </c>
      <c r="D154" s="4">
        <v>1</v>
      </c>
      <c r="E154" s="5">
        <v>0.09</v>
      </c>
      <c r="F154" s="4">
        <v>15</v>
      </c>
      <c r="G154" s="5">
        <v>1.02</v>
      </c>
      <c r="H154" s="4">
        <v>0</v>
      </c>
    </row>
    <row r="155" spans="1:8" x14ac:dyDescent="0.15">
      <c r="A155" s="2" t="s">
        <v>70</v>
      </c>
      <c r="B155" s="4">
        <v>386</v>
      </c>
      <c r="C155" s="5">
        <v>15.01</v>
      </c>
      <c r="D155" s="4">
        <v>220</v>
      </c>
      <c r="E155" s="5">
        <v>19.93</v>
      </c>
      <c r="F155" s="4">
        <v>165</v>
      </c>
      <c r="G155" s="5">
        <v>11.27</v>
      </c>
      <c r="H155" s="4">
        <v>1</v>
      </c>
    </row>
    <row r="156" spans="1:8" x14ac:dyDescent="0.15">
      <c r="A156" s="2" t="s">
        <v>71</v>
      </c>
      <c r="B156" s="4">
        <v>140</v>
      </c>
      <c r="C156" s="5">
        <v>5.45</v>
      </c>
      <c r="D156" s="4">
        <v>54</v>
      </c>
      <c r="E156" s="5">
        <v>4.8899999999999997</v>
      </c>
      <c r="F156" s="4">
        <v>86</v>
      </c>
      <c r="G156" s="5">
        <v>5.87</v>
      </c>
      <c r="H156" s="4">
        <v>0</v>
      </c>
    </row>
    <row r="157" spans="1:8" x14ac:dyDescent="0.15">
      <c r="A157" s="2" t="s">
        <v>72</v>
      </c>
      <c r="B157" s="4">
        <v>219</v>
      </c>
      <c r="C157" s="5">
        <v>8.52</v>
      </c>
      <c r="D157" s="4">
        <v>161</v>
      </c>
      <c r="E157" s="5">
        <v>14.58</v>
      </c>
      <c r="F157" s="4">
        <v>58</v>
      </c>
      <c r="G157" s="5">
        <v>3.96</v>
      </c>
      <c r="H157" s="4">
        <v>0</v>
      </c>
    </row>
    <row r="158" spans="1:8" x14ac:dyDescent="0.15">
      <c r="A158" s="2" t="s">
        <v>73</v>
      </c>
      <c r="B158" s="4">
        <v>345</v>
      </c>
      <c r="C158" s="5">
        <v>13.42</v>
      </c>
      <c r="D158" s="4">
        <v>231</v>
      </c>
      <c r="E158" s="5">
        <v>20.92</v>
      </c>
      <c r="F158" s="4">
        <v>114</v>
      </c>
      <c r="G158" s="5">
        <v>7.79</v>
      </c>
      <c r="H158" s="4">
        <v>0</v>
      </c>
    </row>
    <row r="159" spans="1:8" x14ac:dyDescent="0.15">
      <c r="A159" s="2" t="s">
        <v>74</v>
      </c>
      <c r="B159" s="4">
        <v>103</v>
      </c>
      <c r="C159" s="5">
        <v>4.01</v>
      </c>
      <c r="D159" s="4">
        <v>72</v>
      </c>
      <c r="E159" s="5">
        <v>6.52</v>
      </c>
      <c r="F159" s="4">
        <v>31</v>
      </c>
      <c r="G159" s="5">
        <v>2.12</v>
      </c>
      <c r="H159" s="4">
        <v>0</v>
      </c>
    </row>
    <row r="160" spans="1:8" x14ac:dyDescent="0.15">
      <c r="A160" s="2" t="s">
        <v>75</v>
      </c>
      <c r="B160" s="4">
        <v>149</v>
      </c>
      <c r="C160" s="5">
        <v>5.8</v>
      </c>
      <c r="D160" s="4">
        <v>106</v>
      </c>
      <c r="E160" s="5">
        <v>9.6</v>
      </c>
      <c r="F160" s="4">
        <v>43</v>
      </c>
      <c r="G160" s="5">
        <v>2.94</v>
      </c>
      <c r="H160" s="4">
        <v>0</v>
      </c>
    </row>
    <row r="161" spans="1:8" x14ac:dyDescent="0.15">
      <c r="A161" s="2" t="s">
        <v>76</v>
      </c>
      <c r="B161" s="4">
        <v>73</v>
      </c>
      <c r="C161" s="5">
        <v>2.84</v>
      </c>
      <c r="D161" s="4">
        <v>9</v>
      </c>
      <c r="E161" s="5">
        <v>0.82</v>
      </c>
      <c r="F161" s="4">
        <v>64</v>
      </c>
      <c r="G161" s="5">
        <v>4.37</v>
      </c>
      <c r="H161" s="4">
        <v>0</v>
      </c>
    </row>
    <row r="162" spans="1:8" x14ac:dyDescent="0.15">
      <c r="A162" s="1" t="s">
        <v>10</v>
      </c>
      <c r="B162" s="4">
        <v>5998</v>
      </c>
      <c r="C162" s="5">
        <v>100</v>
      </c>
      <c r="D162" s="4">
        <v>2229</v>
      </c>
      <c r="E162" s="5">
        <v>99.999999999999986</v>
      </c>
      <c r="F162" s="4">
        <v>3765</v>
      </c>
      <c r="G162" s="5">
        <v>99.999999999999986</v>
      </c>
      <c r="H162" s="4">
        <v>4</v>
      </c>
    </row>
    <row r="163" spans="1:8" x14ac:dyDescent="0.15">
      <c r="A163" s="2" t="s">
        <v>62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63</v>
      </c>
      <c r="B164" s="4">
        <v>634</v>
      </c>
      <c r="C164" s="5">
        <v>10.57</v>
      </c>
      <c r="D164" s="4">
        <v>82</v>
      </c>
      <c r="E164" s="5">
        <v>3.68</v>
      </c>
      <c r="F164" s="4">
        <v>552</v>
      </c>
      <c r="G164" s="5">
        <v>14.66</v>
      </c>
      <c r="H164" s="4">
        <v>0</v>
      </c>
    </row>
    <row r="165" spans="1:8" x14ac:dyDescent="0.15">
      <c r="A165" s="2" t="s">
        <v>64</v>
      </c>
      <c r="B165" s="4">
        <v>849</v>
      </c>
      <c r="C165" s="5">
        <v>14.15</v>
      </c>
      <c r="D165" s="4">
        <v>121</v>
      </c>
      <c r="E165" s="5">
        <v>5.43</v>
      </c>
      <c r="F165" s="4">
        <v>728</v>
      </c>
      <c r="G165" s="5">
        <v>19.34</v>
      </c>
      <c r="H165" s="4">
        <v>0</v>
      </c>
    </row>
    <row r="166" spans="1:8" x14ac:dyDescent="0.15">
      <c r="A166" s="2" t="s">
        <v>65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66</v>
      </c>
      <c r="B167" s="4">
        <v>117</v>
      </c>
      <c r="C167" s="5">
        <v>1.95</v>
      </c>
      <c r="D167" s="4">
        <v>0</v>
      </c>
      <c r="E167" s="5">
        <v>0</v>
      </c>
      <c r="F167" s="4">
        <v>116</v>
      </c>
      <c r="G167" s="5">
        <v>3.08</v>
      </c>
      <c r="H167" s="4">
        <v>1</v>
      </c>
    </row>
    <row r="168" spans="1:8" x14ac:dyDescent="0.15">
      <c r="A168" s="2" t="s">
        <v>67</v>
      </c>
      <c r="B168" s="4">
        <v>30</v>
      </c>
      <c r="C168" s="5">
        <v>0.5</v>
      </c>
      <c r="D168" s="4">
        <v>8</v>
      </c>
      <c r="E168" s="5">
        <v>0.36</v>
      </c>
      <c r="F168" s="4">
        <v>22</v>
      </c>
      <c r="G168" s="5">
        <v>0.57999999999999996</v>
      </c>
      <c r="H168" s="4">
        <v>0</v>
      </c>
    </row>
    <row r="169" spans="1:8" x14ac:dyDescent="0.15">
      <c r="A169" s="2" t="s">
        <v>68</v>
      </c>
      <c r="B169" s="4">
        <v>1139</v>
      </c>
      <c r="C169" s="5">
        <v>18.989999999999998</v>
      </c>
      <c r="D169" s="4">
        <v>320</v>
      </c>
      <c r="E169" s="5">
        <v>14.36</v>
      </c>
      <c r="F169" s="4">
        <v>819</v>
      </c>
      <c r="G169" s="5">
        <v>21.75</v>
      </c>
      <c r="H169" s="4">
        <v>0</v>
      </c>
    </row>
    <row r="170" spans="1:8" x14ac:dyDescent="0.15">
      <c r="A170" s="2" t="s">
        <v>69</v>
      </c>
      <c r="B170" s="4">
        <v>31</v>
      </c>
      <c r="C170" s="5">
        <v>0.52</v>
      </c>
      <c r="D170" s="4">
        <v>1</v>
      </c>
      <c r="E170" s="5">
        <v>0.04</v>
      </c>
      <c r="F170" s="4">
        <v>30</v>
      </c>
      <c r="G170" s="5">
        <v>0.8</v>
      </c>
      <c r="H170" s="4">
        <v>0</v>
      </c>
    </row>
    <row r="171" spans="1:8" x14ac:dyDescent="0.15">
      <c r="A171" s="2" t="s">
        <v>70</v>
      </c>
      <c r="B171" s="4">
        <v>1101</v>
      </c>
      <c r="C171" s="5">
        <v>18.36</v>
      </c>
      <c r="D171" s="4">
        <v>480</v>
      </c>
      <c r="E171" s="5">
        <v>21.53</v>
      </c>
      <c r="F171" s="4">
        <v>621</v>
      </c>
      <c r="G171" s="5">
        <v>16.489999999999998</v>
      </c>
      <c r="H171" s="4">
        <v>0</v>
      </c>
    </row>
    <row r="172" spans="1:8" x14ac:dyDescent="0.15">
      <c r="A172" s="2" t="s">
        <v>71</v>
      </c>
      <c r="B172" s="4">
        <v>354</v>
      </c>
      <c r="C172" s="5">
        <v>5.9</v>
      </c>
      <c r="D172" s="4">
        <v>115</v>
      </c>
      <c r="E172" s="5">
        <v>5.16</v>
      </c>
      <c r="F172" s="4">
        <v>239</v>
      </c>
      <c r="G172" s="5">
        <v>6.35</v>
      </c>
      <c r="H172" s="4">
        <v>0</v>
      </c>
    </row>
    <row r="173" spans="1:8" x14ac:dyDescent="0.15">
      <c r="A173" s="2" t="s">
        <v>72</v>
      </c>
      <c r="B173" s="4">
        <v>530</v>
      </c>
      <c r="C173" s="5">
        <v>8.84</v>
      </c>
      <c r="D173" s="4">
        <v>387</v>
      </c>
      <c r="E173" s="5">
        <v>17.36</v>
      </c>
      <c r="F173" s="4">
        <v>142</v>
      </c>
      <c r="G173" s="5">
        <v>3.77</v>
      </c>
      <c r="H173" s="4">
        <v>1</v>
      </c>
    </row>
    <row r="174" spans="1:8" x14ac:dyDescent="0.15">
      <c r="A174" s="2" t="s">
        <v>73</v>
      </c>
      <c r="B174" s="4">
        <v>548</v>
      </c>
      <c r="C174" s="5">
        <v>9.14</v>
      </c>
      <c r="D174" s="4">
        <v>365</v>
      </c>
      <c r="E174" s="5">
        <v>16.38</v>
      </c>
      <c r="F174" s="4">
        <v>183</v>
      </c>
      <c r="G174" s="5">
        <v>4.8600000000000003</v>
      </c>
      <c r="H174" s="4">
        <v>0</v>
      </c>
    </row>
    <row r="175" spans="1:8" x14ac:dyDescent="0.15">
      <c r="A175" s="2" t="s">
        <v>74</v>
      </c>
      <c r="B175" s="4">
        <v>170</v>
      </c>
      <c r="C175" s="5">
        <v>2.83</v>
      </c>
      <c r="D175" s="4">
        <v>105</v>
      </c>
      <c r="E175" s="5">
        <v>4.71</v>
      </c>
      <c r="F175" s="4">
        <v>65</v>
      </c>
      <c r="G175" s="5">
        <v>1.73</v>
      </c>
      <c r="H175" s="4">
        <v>0</v>
      </c>
    </row>
    <row r="176" spans="1:8" x14ac:dyDescent="0.15">
      <c r="A176" s="2" t="s">
        <v>75</v>
      </c>
      <c r="B176" s="4">
        <v>279</v>
      </c>
      <c r="C176" s="5">
        <v>4.6500000000000004</v>
      </c>
      <c r="D176" s="4">
        <v>196</v>
      </c>
      <c r="E176" s="5">
        <v>8.7899999999999991</v>
      </c>
      <c r="F176" s="4">
        <v>82</v>
      </c>
      <c r="G176" s="5">
        <v>2.1800000000000002</v>
      </c>
      <c r="H176" s="4">
        <v>1</v>
      </c>
    </row>
    <row r="177" spans="1:8" x14ac:dyDescent="0.15">
      <c r="A177" s="2" t="s">
        <v>76</v>
      </c>
      <c r="B177" s="4">
        <v>216</v>
      </c>
      <c r="C177" s="5">
        <v>3.6</v>
      </c>
      <c r="D177" s="4">
        <v>49</v>
      </c>
      <c r="E177" s="5">
        <v>2.2000000000000002</v>
      </c>
      <c r="F177" s="4">
        <v>166</v>
      </c>
      <c r="G177" s="5">
        <v>4.41</v>
      </c>
      <c r="H177" s="4">
        <v>1</v>
      </c>
    </row>
    <row r="178" spans="1:8" x14ac:dyDescent="0.15">
      <c r="A178" s="1" t="s">
        <v>11</v>
      </c>
      <c r="B178" s="4">
        <v>3016</v>
      </c>
      <c r="C178" s="5">
        <v>100</v>
      </c>
      <c r="D178" s="4">
        <v>1106</v>
      </c>
      <c r="E178" s="5">
        <v>100.00999999999998</v>
      </c>
      <c r="F178" s="4">
        <v>1905</v>
      </c>
      <c r="G178" s="5">
        <v>99.99</v>
      </c>
      <c r="H178" s="4">
        <v>5</v>
      </c>
    </row>
    <row r="179" spans="1:8" x14ac:dyDescent="0.15">
      <c r="A179" s="2" t="s">
        <v>62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63</v>
      </c>
      <c r="B180" s="4">
        <v>559</v>
      </c>
      <c r="C180" s="5">
        <v>18.53</v>
      </c>
      <c r="D180" s="4">
        <v>70</v>
      </c>
      <c r="E180" s="5">
        <v>6.33</v>
      </c>
      <c r="F180" s="4">
        <v>489</v>
      </c>
      <c r="G180" s="5">
        <v>25.67</v>
      </c>
      <c r="H180" s="4">
        <v>0</v>
      </c>
    </row>
    <row r="181" spans="1:8" x14ac:dyDescent="0.15">
      <c r="A181" s="2" t="s">
        <v>64</v>
      </c>
      <c r="B181" s="4">
        <v>179</v>
      </c>
      <c r="C181" s="5">
        <v>5.94</v>
      </c>
      <c r="D181" s="4">
        <v>35</v>
      </c>
      <c r="E181" s="5">
        <v>3.16</v>
      </c>
      <c r="F181" s="4">
        <v>144</v>
      </c>
      <c r="G181" s="5">
        <v>7.56</v>
      </c>
      <c r="H181" s="4">
        <v>0</v>
      </c>
    </row>
    <row r="182" spans="1:8" x14ac:dyDescent="0.15">
      <c r="A182" s="2" t="s">
        <v>65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66</v>
      </c>
      <c r="B183" s="4">
        <v>37</v>
      </c>
      <c r="C183" s="5">
        <v>1.23</v>
      </c>
      <c r="D183" s="4">
        <v>2</v>
      </c>
      <c r="E183" s="5">
        <v>0.18</v>
      </c>
      <c r="F183" s="4">
        <v>35</v>
      </c>
      <c r="G183" s="5">
        <v>1.84</v>
      </c>
      <c r="H183" s="4">
        <v>0</v>
      </c>
    </row>
    <row r="184" spans="1:8" x14ac:dyDescent="0.15">
      <c r="A184" s="2" t="s">
        <v>67</v>
      </c>
      <c r="B184" s="4">
        <v>26</v>
      </c>
      <c r="C184" s="5">
        <v>0.86</v>
      </c>
      <c r="D184" s="4">
        <v>14</v>
      </c>
      <c r="E184" s="5">
        <v>1.27</v>
      </c>
      <c r="F184" s="4">
        <v>12</v>
      </c>
      <c r="G184" s="5">
        <v>0.63</v>
      </c>
      <c r="H184" s="4">
        <v>0</v>
      </c>
    </row>
    <row r="185" spans="1:8" x14ac:dyDescent="0.15">
      <c r="A185" s="2" t="s">
        <v>68</v>
      </c>
      <c r="B185" s="4">
        <v>620</v>
      </c>
      <c r="C185" s="5">
        <v>20.56</v>
      </c>
      <c r="D185" s="4">
        <v>157</v>
      </c>
      <c r="E185" s="5">
        <v>14.2</v>
      </c>
      <c r="F185" s="4">
        <v>462</v>
      </c>
      <c r="G185" s="5">
        <v>24.25</v>
      </c>
      <c r="H185" s="4">
        <v>1</v>
      </c>
    </row>
    <row r="186" spans="1:8" x14ac:dyDescent="0.15">
      <c r="A186" s="2" t="s">
        <v>69</v>
      </c>
      <c r="B186" s="4">
        <v>24</v>
      </c>
      <c r="C186" s="5">
        <v>0.8</v>
      </c>
      <c r="D186" s="4">
        <v>3</v>
      </c>
      <c r="E186" s="5">
        <v>0.27</v>
      </c>
      <c r="F186" s="4">
        <v>21</v>
      </c>
      <c r="G186" s="5">
        <v>1.1000000000000001</v>
      </c>
      <c r="H186" s="4">
        <v>0</v>
      </c>
    </row>
    <row r="187" spans="1:8" x14ac:dyDescent="0.15">
      <c r="A187" s="2" t="s">
        <v>70</v>
      </c>
      <c r="B187" s="4">
        <v>332</v>
      </c>
      <c r="C187" s="5">
        <v>11.01</v>
      </c>
      <c r="D187" s="4">
        <v>55</v>
      </c>
      <c r="E187" s="5">
        <v>4.97</v>
      </c>
      <c r="F187" s="4">
        <v>276</v>
      </c>
      <c r="G187" s="5">
        <v>14.49</v>
      </c>
      <c r="H187" s="4">
        <v>1</v>
      </c>
    </row>
    <row r="188" spans="1:8" x14ac:dyDescent="0.15">
      <c r="A188" s="2" t="s">
        <v>71</v>
      </c>
      <c r="B188" s="4">
        <v>169</v>
      </c>
      <c r="C188" s="5">
        <v>5.6</v>
      </c>
      <c r="D188" s="4">
        <v>67</v>
      </c>
      <c r="E188" s="5">
        <v>6.06</v>
      </c>
      <c r="F188" s="4">
        <v>102</v>
      </c>
      <c r="G188" s="5">
        <v>5.35</v>
      </c>
      <c r="H188" s="4">
        <v>0</v>
      </c>
    </row>
    <row r="189" spans="1:8" x14ac:dyDescent="0.15">
      <c r="A189" s="2" t="s">
        <v>72</v>
      </c>
      <c r="B189" s="4">
        <v>274</v>
      </c>
      <c r="C189" s="5">
        <v>9.08</v>
      </c>
      <c r="D189" s="4">
        <v>209</v>
      </c>
      <c r="E189" s="5">
        <v>18.899999999999999</v>
      </c>
      <c r="F189" s="4">
        <v>65</v>
      </c>
      <c r="G189" s="5">
        <v>3.41</v>
      </c>
      <c r="H189" s="4">
        <v>0</v>
      </c>
    </row>
    <row r="190" spans="1:8" x14ac:dyDescent="0.15">
      <c r="A190" s="2" t="s">
        <v>73</v>
      </c>
      <c r="B190" s="4">
        <v>406</v>
      </c>
      <c r="C190" s="5">
        <v>13.46</v>
      </c>
      <c r="D190" s="4">
        <v>283</v>
      </c>
      <c r="E190" s="5">
        <v>25.59</v>
      </c>
      <c r="F190" s="4">
        <v>123</v>
      </c>
      <c r="G190" s="5">
        <v>6.46</v>
      </c>
      <c r="H190" s="4">
        <v>0</v>
      </c>
    </row>
    <row r="191" spans="1:8" x14ac:dyDescent="0.15">
      <c r="A191" s="2" t="s">
        <v>74</v>
      </c>
      <c r="B191" s="4">
        <v>151</v>
      </c>
      <c r="C191" s="5">
        <v>5.01</v>
      </c>
      <c r="D191" s="4">
        <v>101</v>
      </c>
      <c r="E191" s="5">
        <v>9.1300000000000008</v>
      </c>
      <c r="F191" s="4">
        <v>50</v>
      </c>
      <c r="G191" s="5">
        <v>2.62</v>
      </c>
      <c r="H191" s="4">
        <v>0</v>
      </c>
    </row>
    <row r="192" spans="1:8" x14ac:dyDescent="0.15">
      <c r="A192" s="2" t="s">
        <v>75</v>
      </c>
      <c r="B192" s="4">
        <v>156</v>
      </c>
      <c r="C192" s="5">
        <v>5.17</v>
      </c>
      <c r="D192" s="4">
        <v>96</v>
      </c>
      <c r="E192" s="5">
        <v>8.68</v>
      </c>
      <c r="F192" s="4">
        <v>57</v>
      </c>
      <c r="G192" s="5">
        <v>2.99</v>
      </c>
      <c r="H192" s="4">
        <v>3</v>
      </c>
    </row>
    <row r="193" spans="1:8" x14ac:dyDescent="0.15">
      <c r="A193" s="2" t="s">
        <v>76</v>
      </c>
      <c r="B193" s="4">
        <v>83</v>
      </c>
      <c r="C193" s="5">
        <v>2.75</v>
      </c>
      <c r="D193" s="4">
        <v>14</v>
      </c>
      <c r="E193" s="5">
        <v>1.27</v>
      </c>
      <c r="F193" s="4">
        <v>69</v>
      </c>
      <c r="G193" s="5">
        <v>3.62</v>
      </c>
      <c r="H193" s="4">
        <v>0</v>
      </c>
    </row>
    <row r="194" spans="1:8" x14ac:dyDescent="0.15">
      <c r="A194" s="1" t="s">
        <v>12</v>
      </c>
      <c r="B194" s="4">
        <v>3224</v>
      </c>
      <c r="C194" s="5">
        <v>100.00999999999999</v>
      </c>
      <c r="D194" s="4">
        <v>1467</v>
      </c>
      <c r="E194" s="5">
        <v>99.97999999999999</v>
      </c>
      <c r="F194" s="4">
        <v>1756</v>
      </c>
      <c r="G194" s="5">
        <v>100</v>
      </c>
      <c r="H194" s="4">
        <v>1</v>
      </c>
    </row>
    <row r="195" spans="1:8" x14ac:dyDescent="0.15">
      <c r="A195" s="2" t="s">
        <v>62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63</v>
      </c>
      <c r="B196" s="4">
        <v>512</v>
      </c>
      <c r="C196" s="5">
        <v>15.88</v>
      </c>
      <c r="D196" s="4">
        <v>65</v>
      </c>
      <c r="E196" s="5">
        <v>4.43</v>
      </c>
      <c r="F196" s="4">
        <v>447</v>
      </c>
      <c r="G196" s="5">
        <v>25.46</v>
      </c>
      <c r="H196" s="4">
        <v>0</v>
      </c>
    </row>
    <row r="197" spans="1:8" x14ac:dyDescent="0.15">
      <c r="A197" s="2" t="s">
        <v>64</v>
      </c>
      <c r="B197" s="4">
        <v>115</v>
      </c>
      <c r="C197" s="5">
        <v>3.57</v>
      </c>
      <c r="D197" s="4">
        <v>21</v>
      </c>
      <c r="E197" s="5">
        <v>1.43</v>
      </c>
      <c r="F197" s="4">
        <v>94</v>
      </c>
      <c r="G197" s="5">
        <v>5.35</v>
      </c>
      <c r="H197" s="4">
        <v>0</v>
      </c>
    </row>
    <row r="198" spans="1:8" x14ac:dyDescent="0.15">
      <c r="A198" s="2" t="s">
        <v>65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66</v>
      </c>
      <c r="B199" s="4">
        <v>35</v>
      </c>
      <c r="C199" s="5">
        <v>1.0900000000000001</v>
      </c>
      <c r="D199" s="4">
        <v>1</v>
      </c>
      <c r="E199" s="5">
        <v>7.0000000000000007E-2</v>
      </c>
      <c r="F199" s="4">
        <v>34</v>
      </c>
      <c r="G199" s="5">
        <v>1.94</v>
      </c>
      <c r="H199" s="4">
        <v>0</v>
      </c>
    </row>
    <row r="200" spans="1:8" x14ac:dyDescent="0.15">
      <c r="A200" s="2" t="s">
        <v>67</v>
      </c>
      <c r="B200" s="4">
        <v>37</v>
      </c>
      <c r="C200" s="5">
        <v>1.1499999999999999</v>
      </c>
      <c r="D200" s="4">
        <v>27</v>
      </c>
      <c r="E200" s="5">
        <v>1.84</v>
      </c>
      <c r="F200" s="4">
        <v>10</v>
      </c>
      <c r="G200" s="5">
        <v>0.56999999999999995</v>
      </c>
      <c r="H200" s="4">
        <v>0</v>
      </c>
    </row>
    <row r="201" spans="1:8" x14ac:dyDescent="0.15">
      <c r="A201" s="2" t="s">
        <v>68</v>
      </c>
      <c r="B201" s="4">
        <v>574</v>
      </c>
      <c r="C201" s="5">
        <v>17.8</v>
      </c>
      <c r="D201" s="4">
        <v>189</v>
      </c>
      <c r="E201" s="5">
        <v>12.88</v>
      </c>
      <c r="F201" s="4">
        <v>385</v>
      </c>
      <c r="G201" s="5">
        <v>21.92</v>
      </c>
      <c r="H201" s="4">
        <v>0</v>
      </c>
    </row>
    <row r="202" spans="1:8" x14ac:dyDescent="0.15">
      <c r="A202" s="2" t="s">
        <v>69</v>
      </c>
      <c r="B202" s="4">
        <v>36</v>
      </c>
      <c r="C202" s="5">
        <v>1.1200000000000001</v>
      </c>
      <c r="D202" s="4">
        <v>4</v>
      </c>
      <c r="E202" s="5">
        <v>0.27</v>
      </c>
      <c r="F202" s="4">
        <v>32</v>
      </c>
      <c r="G202" s="5">
        <v>1.82</v>
      </c>
      <c r="H202" s="4">
        <v>0</v>
      </c>
    </row>
    <row r="203" spans="1:8" x14ac:dyDescent="0.15">
      <c r="A203" s="2" t="s">
        <v>70</v>
      </c>
      <c r="B203" s="4">
        <v>573</v>
      </c>
      <c r="C203" s="5">
        <v>17.77</v>
      </c>
      <c r="D203" s="4">
        <v>290</v>
      </c>
      <c r="E203" s="5">
        <v>19.77</v>
      </c>
      <c r="F203" s="4">
        <v>283</v>
      </c>
      <c r="G203" s="5">
        <v>16.12</v>
      </c>
      <c r="H203" s="4">
        <v>0</v>
      </c>
    </row>
    <row r="204" spans="1:8" x14ac:dyDescent="0.15">
      <c r="A204" s="2" t="s">
        <v>71</v>
      </c>
      <c r="B204" s="4">
        <v>189</v>
      </c>
      <c r="C204" s="5">
        <v>5.86</v>
      </c>
      <c r="D204" s="4">
        <v>85</v>
      </c>
      <c r="E204" s="5">
        <v>5.79</v>
      </c>
      <c r="F204" s="4">
        <v>104</v>
      </c>
      <c r="G204" s="5">
        <v>5.92</v>
      </c>
      <c r="H204" s="4">
        <v>0</v>
      </c>
    </row>
    <row r="205" spans="1:8" x14ac:dyDescent="0.15">
      <c r="A205" s="2" t="s">
        <v>72</v>
      </c>
      <c r="B205" s="4">
        <v>320</v>
      </c>
      <c r="C205" s="5">
        <v>9.93</v>
      </c>
      <c r="D205" s="4">
        <v>250</v>
      </c>
      <c r="E205" s="5">
        <v>17.04</v>
      </c>
      <c r="F205" s="4">
        <v>70</v>
      </c>
      <c r="G205" s="5">
        <v>3.99</v>
      </c>
      <c r="H205" s="4">
        <v>0</v>
      </c>
    </row>
    <row r="206" spans="1:8" x14ac:dyDescent="0.15">
      <c r="A206" s="2" t="s">
        <v>73</v>
      </c>
      <c r="B206" s="4">
        <v>422</v>
      </c>
      <c r="C206" s="5">
        <v>13.09</v>
      </c>
      <c r="D206" s="4">
        <v>289</v>
      </c>
      <c r="E206" s="5">
        <v>19.7</v>
      </c>
      <c r="F206" s="4">
        <v>133</v>
      </c>
      <c r="G206" s="5">
        <v>7.57</v>
      </c>
      <c r="H206" s="4">
        <v>0</v>
      </c>
    </row>
    <row r="207" spans="1:8" x14ac:dyDescent="0.15">
      <c r="A207" s="2" t="s">
        <v>74</v>
      </c>
      <c r="B207" s="4">
        <v>166</v>
      </c>
      <c r="C207" s="5">
        <v>5.15</v>
      </c>
      <c r="D207" s="4">
        <v>112</v>
      </c>
      <c r="E207" s="5">
        <v>7.63</v>
      </c>
      <c r="F207" s="4">
        <v>54</v>
      </c>
      <c r="G207" s="5">
        <v>3.08</v>
      </c>
      <c r="H207" s="4">
        <v>0</v>
      </c>
    </row>
    <row r="208" spans="1:8" x14ac:dyDescent="0.15">
      <c r="A208" s="2" t="s">
        <v>75</v>
      </c>
      <c r="B208" s="4">
        <v>171</v>
      </c>
      <c r="C208" s="5">
        <v>5.3</v>
      </c>
      <c r="D208" s="4">
        <v>119</v>
      </c>
      <c r="E208" s="5">
        <v>8.11</v>
      </c>
      <c r="F208" s="4">
        <v>51</v>
      </c>
      <c r="G208" s="5">
        <v>2.9</v>
      </c>
      <c r="H208" s="4">
        <v>1</v>
      </c>
    </row>
    <row r="209" spans="1:8" x14ac:dyDescent="0.15">
      <c r="A209" s="2" t="s">
        <v>76</v>
      </c>
      <c r="B209" s="4">
        <v>74</v>
      </c>
      <c r="C209" s="5">
        <v>2.2999999999999998</v>
      </c>
      <c r="D209" s="4">
        <v>15</v>
      </c>
      <c r="E209" s="5">
        <v>1.02</v>
      </c>
      <c r="F209" s="4">
        <v>59</v>
      </c>
      <c r="G209" s="5">
        <v>3.36</v>
      </c>
      <c r="H209" s="4">
        <v>0</v>
      </c>
    </row>
    <row r="210" spans="1:8" x14ac:dyDescent="0.15">
      <c r="A210" s="1" t="s">
        <v>13</v>
      </c>
      <c r="B210" s="4">
        <v>2946</v>
      </c>
      <c r="C210" s="5">
        <v>99.97999999999999</v>
      </c>
      <c r="D210" s="4">
        <v>1239</v>
      </c>
      <c r="E210" s="5">
        <v>99.98</v>
      </c>
      <c r="F210" s="4">
        <v>1698</v>
      </c>
      <c r="G210" s="5">
        <v>99.990000000000023</v>
      </c>
      <c r="H210" s="4">
        <v>9</v>
      </c>
    </row>
    <row r="211" spans="1:8" x14ac:dyDescent="0.15">
      <c r="A211" s="2" t="s">
        <v>62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63</v>
      </c>
      <c r="B212" s="4">
        <v>589</v>
      </c>
      <c r="C212" s="5">
        <v>19.989999999999998</v>
      </c>
      <c r="D212" s="4">
        <v>74</v>
      </c>
      <c r="E212" s="5">
        <v>5.97</v>
      </c>
      <c r="F212" s="4">
        <v>515</v>
      </c>
      <c r="G212" s="5">
        <v>30.33</v>
      </c>
      <c r="H212" s="4">
        <v>0</v>
      </c>
    </row>
    <row r="213" spans="1:8" x14ac:dyDescent="0.15">
      <c r="A213" s="2" t="s">
        <v>64</v>
      </c>
      <c r="B213" s="4">
        <v>169</v>
      </c>
      <c r="C213" s="5">
        <v>5.74</v>
      </c>
      <c r="D213" s="4">
        <v>24</v>
      </c>
      <c r="E213" s="5">
        <v>1.94</v>
      </c>
      <c r="F213" s="4">
        <v>145</v>
      </c>
      <c r="G213" s="5">
        <v>8.5399999999999991</v>
      </c>
      <c r="H213" s="4">
        <v>0</v>
      </c>
    </row>
    <row r="214" spans="1:8" x14ac:dyDescent="0.15">
      <c r="A214" s="2" t="s">
        <v>65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66</v>
      </c>
      <c r="B215" s="4">
        <v>38</v>
      </c>
      <c r="C215" s="5">
        <v>1.29</v>
      </c>
      <c r="D215" s="4">
        <v>0</v>
      </c>
      <c r="E215" s="5">
        <v>0</v>
      </c>
      <c r="F215" s="4">
        <v>38</v>
      </c>
      <c r="G215" s="5">
        <v>2.2400000000000002</v>
      </c>
      <c r="H215" s="4">
        <v>0</v>
      </c>
    </row>
    <row r="216" spans="1:8" x14ac:dyDescent="0.15">
      <c r="A216" s="2" t="s">
        <v>67</v>
      </c>
      <c r="B216" s="4">
        <v>39</v>
      </c>
      <c r="C216" s="5">
        <v>1.32</v>
      </c>
      <c r="D216" s="4">
        <v>18</v>
      </c>
      <c r="E216" s="5">
        <v>1.45</v>
      </c>
      <c r="F216" s="4">
        <v>21</v>
      </c>
      <c r="G216" s="5">
        <v>1.24</v>
      </c>
      <c r="H216" s="4">
        <v>0</v>
      </c>
    </row>
    <row r="217" spans="1:8" x14ac:dyDescent="0.15">
      <c r="A217" s="2" t="s">
        <v>68</v>
      </c>
      <c r="B217" s="4">
        <v>602</v>
      </c>
      <c r="C217" s="5">
        <v>20.43</v>
      </c>
      <c r="D217" s="4">
        <v>218</v>
      </c>
      <c r="E217" s="5">
        <v>17.59</v>
      </c>
      <c r="F217" s="4">
        <v>384</v>
      </c>
      <c r="G217" s="5">
        <v>22.61</v>
      </c>
      <c r="H217" s="4">
        <v>0</v>
      </c>
    </row>
    <row r="218" spans="1:8" x14ac:dyDescent="0.15">
      <c r="A218" s="2" t="s">
        <v>69</v>
      </c>
      <c r="B218" s="4">
        <v>11</v>
      </c>
      <c r="C218" s="5">
        <v>0.37</v>
      </c>
      <c r="D218" s="4">
        <v>1</v>
      </c>
      <c r="E218" s="5">
        <v>0.08</v>
      </c>
      <c r="F218" s="4">
        <v>10</v>
      </c>
      <c r="G218" s="5">
        <v>0.59</v>
      </c>
      <c r="H218" s="4">
        <v>0</v>
      </c>
    </row>
    <row r="219" spans="1:8" x14ac:dyDescent="0.15">
      <c r="A219" s="2" t="s">
        <v>70</v>
      </c>
      <c r="B219" s="4">
        <v>296</v>
      </c>
      <c r="C219" s="5">
        <v>10.050000000000001</v>
      </c>
      <c r="D219" s="4">
        <v>129</v>
      </c>
      <c r="E219" s="5">
        <v>10.41</v>
      </c>
      <c r="F219" s="4">
        <v>160</v>
      </c>
      <c r="G219" s="5">
        <v>9.42</v>
      </c>
      <c r="H219" s="4">
        <v>7</v>
      </c>
    </row>
    <row r="220" spans="1:8" x14ac:dyDescent="0.15">
      <c r="A220" s="2" t="s">
        <v>71</v>
      </c>
      <c r="B220" s="4">
        <v>171</v>
      </c>
      <c r="C220" s="5">
        <v>5.8</v>
      </c>
      <c r="D220" s="4">
        <v>69</v>
      </c>
      <c r="E220" s="5">
        <v>5.57</v>
      </c>
      <c r="F220" s="4">
        <v>102</v>
      </c>
      <c r="G220" s="5">
        <v>6.01</v>
      </c>
      <c r="H220" s="4">
        <v>0</v>
      </c>
    </row>
    <row r="221" spans="1:8" x14ac:dyDescent="0.15">
      <c r="A221" s="2" t="s">
        <v>72</v>
      </c>
      <c r="B221" s="4">
        <v>282</v>
      </c>
      <c r="C221" s="5">
        <v>9.57</v>
      </c>
      <c r="D221" s="4">
        <v>232</v>
      </c>
      <c r="E221" s="5">
        <v>18.72</v>
      </c>
      <c r="F221" s="4">
        <v>50</v>
      </c>
      <c r="G221" s="5">
        <v>2.94</v>
      </c>
      <c r="H221" s="4">
        <v>0</v>
      </c>
    </row>
    <row r="222" spans="1:8" x14ac:dyDescent="0.15">
      <c r="A222" s="2" t="s">
        <v>73</v>
      </c>
      <c r="B222" s="4">
        <v>355</v>
      </c>
      <c r="C222" s="5">
        <v>12.05</v>
      </c>
      <c r="D222" s="4">
        <v>257</v>
      </c>
      <c r="E222" s="5">
        <v>20.74</v>
      </c>
      <c r="F222" s="4">
        <v>98</v>
      </c>
      <c r="G222" s="5">
        <v>5.77</v>
      </c>
      <c r="H222" s="4">
        <v>0</v>
      </c>
    </row>
    <row r="223" spans="1:8" x14ac:dyDescent="0.15">
      <c r="A223" s="2" t="s">
        <v>74</v>
      </c>
      <c r="B223" s="4">
        <v>130</v>
      </c>
      <c r="C223" s="5">
        <v>4.41</v>
      </c>
      <c r="D223" s="4">
        <v>87</v>
      </c>
      <c r="E223" s="5">
        <v>7.02</v>
      </c>
      <c r="F223" s="4">
        <v>43</v>
      </c>
      <c r="G223" s="5">
        <v>2.5299999999999998</v>
      </c>
      <c r="H223" s="4">
        <v>0</v>
      </c>
    </row>
    <row r="224" spans="1:8" x14ac:dyDescent="0.15">
      <c r="A224" s="2" t="s">
        <v>75</v>
      </c>
      <c r="B224" s="4">
        <v>157</v>
      </c>
      <c r="C224" s="5">
        <v>5.33</v>
      </c>
      <c r="D224" s="4">
        <v>102</v>
      </c>
      <c r="E224" s="5">
        <v>8.23</v>
      </c>
      <c r="F224" s="4">
        <v>54</v>
      </c>
      <c r="G224" s="5">
        <v>3.18</v>
      </c>
      <c r="H224" s="4">
        <v>1</v>
      </c>
    </row>
    <row r="225" spans="1:8" x14ac:dyDescent="0.15">
      <c r="A225" s="2" t="s">
        <v>76</v>
      </c>
      <c r="B225" s="4">
        <v>107</v>
      </c>
      <c r="C225" s="5">
        <v>3.63</v>
      </c>
      <c r="D225" s="4">
        <v>28</v>
      </c>
      <c r="E225" s="5">
        <v>2.2599999999999998</v>
      </c>
      <c r="F225" s="4">
        <v>78</v>
      </c>
      <c r="G225" s="5">
        <v>4.59</v>
      </c>
      <c r="H225" s="4">
        <v>1</v>
      </c>
    </row>
    <row r="226" spans="1:8" x14ac:dyDescent="0.15">
      <c r="A226" s="1" t="s">
        <v>14</v>
      </c>
      <c r="B226" s="4">
        <v>1937</v>
      </c>
      <c r="C226" s="5">
        <v>99.99</v>
      </c>
      <c r="D226" s="4">
        <v>700</v>
      </c>
      <c r="E226" s="5">
        <v>100</v>
      </c>
      <c r="F226" s="4">
        <v>1234</v>
      </c>
      <c r="G226" s="5">
        <v>100.01000000000002</v>
      </c>
      <c r="H226" s="4">
        <v>3</v>
      </c>
    </row>
    <row r="227" spans="1:8" x14ac:dyDescent="0.15">
      <c r="A227" s="2" t="s">
        <v>62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63</v>
      </c>
      <c r="B228" s="4">
        <v>328</v>
      </c>
      <c r="C228" s="5">
        <v>16.93</v>
      </c>
      <c r="D228" s="4">
        <v>49</v>
      </c>
      <c r="E228" s="5">
        <v>7</v>
      </c>
      <c r="F228" s="4">
        <v>279</v>
      </c>
      <c r="G228" s="5">
        <v>22.61</v>
      </c>
      <c r="H228" s="4">
        <v>0</v>
      </c>
    </row>
    <row r="229" spans="1:8" x14ac:dyDescent="0.15">
      <c r="A229" s="2" t="s">
        <v>64</v>
      </c>
      <c r="B229" s="4">
        <v>113</v>
      </c>
      <c r="C229" s="5">
        <v>5.83</v>
      </c>
      <c r="D229" s="4">
        <v>15</v>
      </c>
      <c r="E229" s="5">
        <v>2.14</v>
      </c>
      <c r="F229" s="4">
        <v>98</v>
      </c>
      <c r="G229" s="5">
        <v>7.94</v>
      </c>
      <c r="H229" s="4">
        <v>0</v>
      </c>
    </row>
    <row r="230" spans="1:8" x14ac:dyDescent="0.15">
      <c r="A230" s="2" t="s">
        <v>65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66</v>
      </c>
      <c r="B231" s="4">
        <v>30</v>
      </c>
      <c r="C231" s="5">
        <v>1.55</v>
      </c>
      <c r="D231" s="4">
        <v>2</v>
      </c>
      <c r="E231" s="5">
        <v>0.28999999999999998</v>
      </c>
      <c r="F231" s="4">
        <v>28</v>
      </c>
      <c r="G231" s="5">
        <v>2.27</v>
      </c>
      <c r="H231" s="4">
        <v>0</v>
      </c>
    </row>
    <row r="232" spans="1:8" x14ac:dyDescent="0.15">
      <c r="A232" s="2" t="s">
        <v>67</v>
      </c>
      <c r="B232" s="4">
        <v>24</v>
      </c>
      <c r="C232" s="5">
        <v>1.24</v>
      </c>
      <c r="D232" s="4">
        <v>9</v>
      </c>
      <c r="E232" s="5">
        <v>1.29</v>
      </c>
      <c r="F232" s="4">
        <v>15</v>
      </c>
      <c r="G232" s="5">
        <v>1.22</v>
      </c>
      <c r="H232" s="4">
        <v>0</v>
      </c>
    </row>
    <row r="233" spans="1:8" x14ac:dyDescent="0.15">
      <c r="A233" s="2" t="s">
        <v>68</v>
      </c>
      <c r="B233" s="4">
        <v>413</v>
      </c>
      <c r="C233" s="5">
        <v>21.32</v>
      </c>
      <c r="D233" s="4">
        <v>124</v>
      </c>
      <c r="E233" s="5">
        <v>17.71</v>
      </c>
      <c r="F233" s="4">
        <v>288</v>
      </c>
      <c r="G233" s="5">
        <v>23.34</v>
      </c>
      <c r="H233" s="4">
        <v>1</v>
      </c>
    </row>
    <row r="234" spans="1:8" x14ac:dyDescent="0.15">
      <c r="A234" s="2" t="s">
        <v>69</v>
      </c>
      <c r="B234" s="4">
        <v>17</v>
      </c>
      <c r="C234" s="5">
        <v>0.88</v>
      </c>
      <c r="D234" s="4">
        <v>0</v>
      </c>
      <c r="E234" s="5">
        <v>0</v>
      </c>
      <c r="F234" s="4">
        <v>17</v>
      </c>
      <c r="G234" s="5">
        <v>1.38</v>
      </c>
      <c r="H234" s="4">
        <v>0</v>
      </c>
    </row>
    <row r="235" spans="1:8" x14ac:dyDescent="0.15">
      <c r="A235" s="2" t="s">
        <v>70</v>
      </c>
      <c r="B235" s="4">
        <v>207</v>
      </c>
      <c r="C235" s="5">
        <v>10.69</v>
      </c>
      <c r="D235" s="4">
        <v>33</v>
      </c>
      <c r="E235" s="5">
        <v>4.71</v>
      </c>
      <c r="F235" s="4">
        <v>174</v>
      </c>
      <c r="G235" s="5">
        <v>14.1</v>
      </c>
      <c r="H235" s="4">
        <v>0</v>
      </c>
    </row>
    <row r="236" spans="1:8" x14ac:dyDescent="0.15">
      <c r="A236" s="2" t="s">
        <v>71</v>
      </c>
      <c r="B236" s="4">
        <v>119</v>
      </c>
      <c r="C236" s="5">
        <v>6.14</v>
      </c>
      <c r="D236" s="4">
        <v>48</v>
      </c>
      <c r="E236" s="5">
        <v>6.86</v>
      </c>
      <c r="F236" s="4">
        <v>71</v>
      </c>
      <c r="G236" s="5">
        <v>5.75</v>
      </c>
      <c r="H236" s="4">
        <v>0</v>
      </c>
    </row>
    <row r="237" spans="1:8" x14ac:dyDescent="0.15">
      <c r="A237" s="2" t="s">
        <v>72</v>
      </c>
      <c r="B237" s="4">
        <v>193</v>
      </c>
      <c r="C237" s="5">
        <v>9.9600000000000009</v>
      </c>
      <c r="D237" s="4">
        <v>134</v>
      </c>
      <c r="E237" s="5">
        <v>19.14</v>
      </c>
      <c r="F237" s="4">
        <v>58</v>
      </c>
      <c r="G237" s="5">
        <v>4.7</v>
      </c>
      <c r="H237" s="4">
        <v>1</v>
      </c>
    </row>
    <row r="238" spans="1:8" x14ac:dyDescent="0.15">
      <c r="A238" s="2" t="s">
        <v>73</v>
      </c>
      <c r="B238" s="4">
        <v>225</v>
      </c>
      <c r="C238" s="5">
        <v>11.62</v>
      </c>
      <c r="D238" s="4">
        <v>143</v>
      </c>
      <c r="E238" s="5">
        <v>20.43</v>
      </c>
      <c r="F238" s="4">
        <v>82</v>
      </c>
      <c r="G238" s="5">
        <v>6.65</v>
      </c>
      <c r="H238" s="4">
        <v>0</v>
      </c>
    </row>
    <row r="239" spans="1:8" x14ac:dyDescent="0.15">
      <c r="A239" s="2" t="s">
        <v>74</v>
      </c>
      <c r="B239" s="4">
        <v>82</v>
      </c>
      <c r="C239" s="5">
        <v>4.2300000000000004</v>
      </c>
      <c r="D239" s="4">
        <v>50</v>
      </c>
      <c r="E239" s="5">
        <v>7.14</v>
      </c>
      <c r="F239" s="4">
        <v>32</v>
      </c>
      <c r="G239" s="5">
        <v>2.59</v>
      </c>
      <c r="H239" s="4">
        <v>0</v>
      </c>
    </row>
    <row r="240" spans="1:8" x14ac:dyDescent="0.15">
      <c r="A240" s="2" t="s">
        <v>75</v>
      </c>
      <c r="B240" s="4">
        <v>113</v>
      </c>
      <c r="C240" s="5">
        <v>5.83</v>
      </c>
      <c r="D240" s="4">
        <v>76</v>
      </c>
      <c r="E240" s="5">
        <v>10.86</v>
      </c>
      <c r="F240" s="4">
        <v>36</v>
      </c>
      <c r="G240" s="5">
        <v>2.92</v>
      </c>
      <c r="H240" s="4">
        <v>1</v>
      </c>
    </row>
    <row r="241" spans="1:8" x14ac:dyDescent="0.15">
      <c r="A241" s="2" t="s">
        <v>76</v>
      </c>
      <c r="B241" s="4">
        <v>73</v>
      </c>
      <c r="C241" s="5">
        <v>3.77</v>
      </c>
      <c r="D241" s="4">
        <v>17</v>
      </c>
      <c r="E241" s="5">
        <v>2.4300000000000002</v>
      </c>
      <c r="F241" s="4">
        <v>56</v>
      </c>
      <c r="G241" s="5">
        <v>4.54</v>
      </c>
      <c r="H241" s="4">
        <v>0</v>
      </c>
    </row>
    <row r="242" spans="1:8" x14ac:dyDescent="0.15">
      <c r="A242" s="1" t="s">
        <v>15</v>
      </c>
      <c r="B242" s="4">
        <v>1899</v>
      </c>
      <c r="C242" s="5">
        <v>100</v>
      </c>
      <c r="D242" s="4">
        <v>897</v>
      </c>
      <c r="E242" s="5">
        <v>100</v>
      </c>
      <c r="F242" s="4">
        <v>1001</v>
      </c>
      <c r="G242" s="5">
        <v>100.01999999999998</v>
      </c>
      <c r="H242" s="4">
        <v>1</v>
      </c>
    </row>
    <row r="243" spans="1:8" x14ac:dyDescent="0.15">
      <c r="A243" s="2" t="s">
        <v>62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63</v>
      </c>
      <c r="B244" s="4">
        <v>400</v>
      </c>
      <c r="C244" s="5">
        <v>21.06</v>
      </c>
      <c r="D244" s="4">
        <v>66</v>
      </c>
      <c r="E244" s="5">
        <v>7.36</v>
      </c>
      <c r="F244" s="4">
        <v>334</v>
      </c>
      <c r="G244" s="5">
        <v>33.369999999999997</v>
      </c>
      <c r="H244" s="4">
        <v>0</v>
      </c>
    </row>
    <row r="245" spans="1:8" x14ac:dyDescent="0.15">
      <c r="A245" s="2" t="s">
        <v>64</v>
      </c>
      <c r="B245" s="4">
        <v>100</v>
      </c>
      <c r="C245" s="5">
        <v>5.27</v>
      </c>
      <c r="D245" s="4">
        <v>17</v>
      </c>
      <c r="E245" s="5">
        <v>1.9</v>
      </c>
      <c r="F245" s="4">
        <v>83</v>
      </c>
      <c r="G245" s="5">
        <v>8.2899999999999991</v>
      </c>
      <c r="H245" s="4">
        <v>0</v>
      </c>
    </row>
    <row r="246" spans="1:8" x14ac:dyDescent="0.15">
      <c r="A246" s="2" t="s">
        <v>65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66</v>
      </c>
      <c r="B247" s="4">
        <v>18</v>
      </c>
      <c r="C247" s="5">
        <v>0.95</v>
      </c>
      <c r="D247" s="4">
        <v>1</v>
      </c>
      <c r="E247" s="5">
        <v>0.11</v>
      </c>
      <c r="F247" s="4">
        <v>17</v>
      </c>
      <c r="G247" s="5">
        <v>1.7</v>
      </c>
      <c r="H247" s="4">
        <v>0</v>
      </c>
    </row>
    <row r="248" spans="1:8" x14ac:dyDescent="0.15">
      <c r="A248" s="2" t="s">
        <v>67</v>
      </c>
      <c r="B248" s="4">
        <v>23</v>
      </c>
      <c r="C248" s="5">
        <v>1.21</v>
      </c>
      <c r="D248" s="4">
        <v>13</v>
      </c>
      <c r="E248" s="5">
        <v>1.45</v>
      </c>
      <c r="F248" s="4">
        <v>10</v>
      </c>
      <c r="G248" s="5">
        <v>1</v>
      </c>
      <c r="H248" s="4">
        <v>0</v>
      </c>
    </row>
    <row r="249" spans="1:8" x14ac:dyDescent="0.15">
      <c r="A249" s="2" t="s">
        <v>68</v>
      </c>
      <c r="B249" s="4">
        <v>391</v>
      </c>
      <c r="C249" s="5">
        <v>20.59</v>
      </c>
      <c r="D249" s="4">
        <v>177</v>
      </c>
      <c r="E249" s="5">
        <v>19.73</v>
      </c>
      <c r="F249" s="4">
        <v>214</v>
      </c>
      <c r="G249" s="5">
        <v>21.38</v>
      </c>
      <c r="H249" s="4">
        <v>0</v>
      </c>
    </row>
    <row r="250" spans="1:8" x14ac:dyDescent="0.15">
      <c r="A250" s="2" t="s">
        <v>69</v>
      </c>
      <c r="B250" s="4">
        <v>11</v>
      </c>
      <c r="C250" s="5">
        <v>0.57999999999999996</v>
      </c>
      <c r="D250" s="4">
        <v>0</v>
      </c>
      <c r="E250" s="5">
        <v>0</v>
      </c>
      <c r="F250" s="4">
        <v>11</v>
      </c>
      <c r="G250" s="5">
        <v>1.1000000000000001</v>
      </c>
      <c r="H250" s="4">
        <v>0</v>
      </c>
    </row>
    <row r="251" spans="1:8" x14ac:dyDescent="0.15">
      <c r="A251" s="2" t="s">
        <v>70</v>
      </c>
      <c r="B251" s="4">
        <v>235</v>
      </c>
      <c r="C251" s="5">
        <v>12.37</v>
      </c>
      <c r="D251" s="4">
        <v>122</v>
      </c>
      <c r="E251" s="5">
        <v>13.6</v>
      </c>
      <c r="F251" s="4">
        <v>113</v>
      </c>
      <c r="G251" s="5">
        <v>11.29</v>
      </c>
      <c r="H251" s="4">
        <v>0</v>
      </c>
    </row>
    <row r="252" spans="1:8" x14ac:dyDescent="0.15">
      <c r="A252" s="2" t="s">
        <v>71</v>
      </c>
      <c r="B252" s="4">
        <v>79</v>
      </c>
      <c r="C252" s="5">
        <v>4.16</v>
      </c>
      <c r="D252" s="4">
        <v>36</v>
      </c>
      <c r="E252" s="5">
        <v>4.01</v>
      </c>
      <c r="F252" s="4">
        <v>43</v>
      </c>
      <c r="G252" s="5">
        <v>4.3</v>
      </c>
      <c r="H252" s="4">
        <v>0</v>
      </c>
    </row>
    <row r="253" spans="1:8" x14ac:dyDescent="0.15">
      <c r="A253" s="2" t="s">
        <v>72</v>
      </c>
      <c r="B253" s="4">
        <v>184</v>
      </c>
      <c r="C253" s="5">
        <v>9.69</v>
      </c>
      <c r="D253" s="4">
        <v>153</v>
      </c>
      <c r="E253" s="5">
        <v>17.059999999999999</v>
      </c>
      <c r="F253" s="4">
        <v>31</v>
      </c>
      <c r="G253" s="5">
        <v>3.1</v>
      </c>
      <c r="H253" s="4">
        <v>0</v>
      </c>
    </row>
    <row r="254" spans="1:8" x14ac:dyDescent="0.15">
      <c r="A254" s="2" t="s">
        <v>73</v>
      </c>
      <c r="B254" s="4">
        <v>228</v>
      </c>
      <c r="C254" s="5">
        <v>12.01</v>
      </c>
      <c r="D254" s="4">
        <v>177</v>
      </c>
      <c r="E254" s="5">
        <v>19.73</v>
      </c>
      <c r="F254" s="4">
        <v>51</v>
      </c>
      <c r="G254" s="5">
        <v>5.09</v>
      </c>
      <c r="H254" s="4">
        <v>0</v>
      </c>
    </row>
    <row r="255" spans="1:8" x14ac:dyDescent="0.15">
      <c r="A255" s="2" t="s">
        <v>74</v>
      </c>
      <c r="B255" s="4">
        <v>75</v>
      </c>
      <c r="C255" s="5">
        <v>3.95</v>
      </c>
      <c r="D255" s="4">
        <v>57</v>
      </c>
      <c r="E255" s="5">
        <v>6.35</v>
      </c>
      <c r="F255" s="4">
        <v>18</v>
      </c>
      <c r="G255" s="5">
        <v>1.8</v>
      </c>
      <c r="H255" s="4">
        <v>0</v>
      </c>
    </row>
    <row r="256" spans="1:8" x14ac:dyDescent="0.15">
      <c r="A256" s="2" t="s">
        <v>75</v>
      </c>
      <c r="B256" s="4">
        <v>97</v>
      </c>
      <c r="C256" s="5">
        <v>5.1100000000000003</v>
      </c>
      <c r="D256" s="4">
        <v>66</v>
      </c>
      <c r="E256" s="5">
        <v>7.36</v>
      </c>
      <c r="F256" s="4">
        <v>30</v>
      </c>
      <c r="G256" s="5">
        <v>3</v>
      </c>
      <c r="H256" s="4">
        <v>1</v>
      </c>
    </row>
    <row r="257" spans="1:8" x14ac:dyDescent="0.15">
      <c r="A257" s="2" t="s">
        <v>76</v>
      </c>
      <c r="B257" s="4">
        <v>58</v>
      </c>
      <c r="C257" s="5">
        <v>3.05</v>
      </c>
      <c r="D257" s="4">
        <v>12</v>
      </c>
      <c r="E257" s="5">
        <v>1.34</v>
      </c>
      <c r="F257" s="4">
        <v>46</v>
      </c>
      <c r="G257" s="5">
        <v>4.5999999999999996</v>
      </c>
      <c r="H257" s="4">
        <v>0</v>
      </c>
    </row>
    <row r="258" spans="1:8" x14ac:dyDescent="0.15">
      <c r="A258" s="1" t="s">
        <v>16</v>
      </c>
      <c r="B258" s="4">
        <v>1232</v>
      </c>
      <c r="C258" s="5">
        <v>99.99</v>
      </c>
      <c r="D258" s="4">
        <v>499</v>
      </c>
      <c r="E258" s="5">
        <v>100.01</v>
      </c>
      <c r="F258" s="4">
        <v>732</v>
      </c>
      <c r="G258" s="5">
        <v>100</v>
      </c>
      <c r="H258" s="4">
        <v>1</v>
      </c>
    </row>
    <row r="259" spans="1:8" x14ac:dyDescent="0.15">
      <c r="A259" s="2" t="s">
        <v>62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63</v>
      </c>
      <c r="B260" s="4">
        <v>235</v>
      </c>
      <c r="C260" s="5">
        <v>19.07</v>
      </c>
      <c r="D260" s="4">
        <v>29</v>
      </c>
      <c r="E260" s="5">
        <v>5.81</v>
      </c>
      <c r="F260" s="4">
        <v>206</v>
      </c>
      <c r="G260" s="5">
        <v>28.14</v>
      </c>
      <c r="H260" s="4">
        <v>0</v>
      </c>
    </row>
    <row r="261" spans="1:8" x14ac:dyDescent="0.15">
      <c r="A261" s="2" t="s">
        <v>64</v>
      </c>
      <c r="B261" s="4">
        <v>56</v>
      </c>
      <c r="C261" s="5">
        <v>4.55</v>
      </c>
      <c r="D261" s="4">
        <v>7</v>
      </c>
      <c r="E261" s="5">
        <v>1.4</v>
      </c>
      <c r="F261" s="4">
        <v>49</v>
      </c>
      <c r="G261" s="5">
        <v>6.69</v>
      </c>
      <c r="H261" s="4">
        <v>0</v>
      </c>
    </row>
    <row r="262" spans="1:8" x14ac:dyDescent="0.15">
      <c r="A262" s="2" t="s">
        <v>65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66</v>
      </c>
      <c r="B263" s="4">
        <v>20</v>
      </c>
      <c r="C263" s="5">
        <v>1.62</v>
      </c>
      <c r="D263" s="4">
        <v>1</v>
      </c>
      <c r="E263" s="5">
        <v>0.2</v>
      </c>
      <c r="F263" s="4">
        <v>18</v>
      </c>
      <c r="G263" s="5">
        <v>2.46</v>
      </c>
      <c r="H263" s="4">
        <v>1</v>
      </c>
    </row>
    <row r="264" spans="1:8" x14ac:dyDescent="0.15">
      <c r="A264" s="2" t="s">
        <v>67</v>
      </c>
      <c r="B264" s="4">
        <v>11</v>
      </c>
      <c r="C264" s="5">
        <v>0.89</v>
      </c>
      <c r="D264" s="4">
        <v>3</v>
      </c>
      <c r="E264" s="5">
        <v>0.6</v>
      </c>
      <c r="F264" s="4">
        <v>8</v>
      </c>
      <c r="G264" s="5">
        <v>1.0900000000000001</v>
      </c>
      <c r="H264" s="4">
        <v>0</v>
      </c>
    </row>
    <row r="265" spans="1:8" x14ac:dyDescent="0.15">
      <c r="A265" s="2" t="s">
        <v>68</v>
      </c>
      <c r="B265" s="4">
        <v>221</v>
      </c>
      <c r="C265" s="5">
        <v>17.940000000000001</v>
      </c>
      <c r="D265" s="4">
        <v>79</v>
      </c>
      <c r="E265" s="5">
        <v>15.83</v>
      </c>
      <c r="F265" s="4">
        <v>142</v>
      </c>
      <c r="G265" s="5">
        <v>19.399999999999999</v>
      </c>
      <c r="H265" s="4">
        <v>0</v>
      </c>
    </row>
    <row r="266" spans="1:8" x14ac:dyDescent="0.15">
      <c r="A266" s="2" t="s">
        <v>69</v>
      </c>
      <c r="B266" s="4">
        <v>9</v>
      </c>
      <c r="C266" s="5">
        <v>0.73</v>
      </c>
      <c r="D266" s="4">
        <v>0</v>
      </c>
      <c r="E266" s="5">
        <v>0</v>
      </c>
      <c r="F266" s="4">
        <v>9</v>
      </c>
      <c r="G266" s="5">
        <v>1.23</v>
      </c>
      <c r="H266" s="4">
        <v>0</v>
      </c>
    </row>
    <row r="267" spans="1:8" x14ac:dyDescent="0.15">
      <c r="A267" s="2" t="s">
        <v>70</v>
      </c>
      <c r="B267" s="4">
        <v>156</v>
      </c>
      <c r="C267" s="5">
        <v>12.66</v>
      </c>
      <c r="D267" s="4">
        <v>64</v>
      </c>
      <c r="E267" s="5">
        <v>12.83</v>
      </c>
      <c r="F267" s="4">
        <v>92</v>
      </c>
      <c r="G267" s="5">
        <v>12.57</v>
      </c>
      <c r="H267" s="4">
        <v>0</v>
      </c>
    </row>
    <row r="268" spans="1:8" x14ac:dyDescent="0.15">
      <c r="A268" s="2" t="s">
        <v>71</v>
      </c>
      <c r="B268" s="4">
        <v>99</v>
      </c>
      <c r="C268" s="5">
        <v>8.0399999999999991</v>
      </c>
      <c r="D268" s="4">
        <v>48</v>
      </c>
      <c r="E268" s="5">
        <v>9.6199999999999992</v>
      </c>
      <c r="F268" s="4">
        <v>51</v>
      </c>
      <c r="G268" s="5">
        <v>6.97</v>
      </c>
      <c r="H268" s="4">
        <v>0</v>
      </c>
    </row>
    <row r="269" spans="1:8" x14ac:dyDescent="0.15">
      <c r="A269" s="2" t="s">
        <v>72</v>
      </c>
      <c r="B269" s="4">
        <v>68</v>
      </c>
      <c r="C269" s="5">
        <v>5.52</v>
      </c>
      <c r="D269" s="4">
        <v>41</v>
      </c>
      <c r="E269" s="5">
        <v>8.2200000000000006</v>
      </c>
      <c r="F269" s="4">
        <v>27</v>
      </c>
      <c r="G269" s="5">
        <v>3.69</v>
      </c>
      <c r="H269" s="4">
        <v>0</v>
      </c>
    </row>
    <row r="270" spans="1:8" x14ac:dyDescent="0.15">
      <c r="A270" s="2" t="s">
        <v>73</v>
      </c>
      <c r="B270" s="4">
        <v>165</v>
      </c>
      <c r="C270" s="5">
        <v>13.39</v>
      </c>
      <c r="D270" s="4">
        <v>120</v>
      </c>
      <c r="E270" s="5">
        <v>24.05</v>
      </c>
      <c r="F270" s="4">
        <v>45</v>
      </c>
      <c r="G270" s="5">
        <v>6.15</v>
      </c>
      <c r="H270" s="4">
        <v>0</v>
      </c>
    </row>
    <row r="271" spans="1:8" x14ac:dyDescent="0.15">
      <c r="A271" s="2" t="s">
        <v>74</v>
      </c>
      <c r="B271" s="4">
        <v>59</v>
      </c>
      <c r="C271" s="5">
        <v>4.79</v>
      </c>
      <c r="D271" s="4">
        <v>47</v>
      </c>
      <c r="E271" s="5">
        <v>9.42</v>
      </c>
      <c r="F271" s="4">
        <v>12</v>
      </c>
      <c r="G271" s="5">
        <v>1.64</v>
      </c>
      <c r="H271" s="4">
        <v>0</v>
      </c>
    </row>
    <row r="272" spans="1:8" x14ac:dyDescent="0.15">
      <c r="A272" s="2" t="s">
        <v>75</v>
      </c>
      <c r="B272" s="4">
        <v>89</v>
      </c>
      <c r="C272" s="5">
        <v>7.22</v>
      </c>
      <c r="D272" s="4">
        <v>47</v>
      </c>
      <c r="E272" s="5">
        <v>9.42</v>
      </c>
      <c r="F272" s="4">
        <v>42</v>
      </c>
      <c r="G272" s="5">
        <v>5.74</v>
      </c>
      <c r="H272" s="4">
        <v>0</v>
      </c>
    </row>
    <row r="273" spans="1:8" x14ac:dyDescent="0.15">
      <c r="A273" s="2" t="s">
        <v>76</v>
      </c>
      <c r="B273" s="4">
        <v>44</v>
      </c>
      <c r="C273" s="5">
        <v>3.57</v>
      </c>
      <c r="D273" s="4">
        <v>13</v>
      </c>
      <c r="E273" s="5">
        <v>2.61</v>
      </c>
      <c r="F273" s="4">
        <v>31</v>
      </c>
      <c r="G273" s="5">
        <v>4.2300000000000004</v>
      </c>
      <c r="H273" s="4">
        <v>0</v>
      </c>
    </row>
    <row r="274" spans="1:8" x14ac:dyDescent="0.15">
      <c r="A274" s="1" t="s">
        <v>17</v>
      </c>
      <c r="B274" s="4">
        <v>2118</v>
      </c>
      <c r="C274" s="5">
        <v>99.97999999999999</v>
      </c>
      <c r="D274" s="4">
        <v>883</v>
      </c>
      <c r="E274" s="5">
        <v>99.989999999999981</v>
      </c>
      <c r="F274" s="4">
        <v>1232</v>
      </c>
      <c r="G274" s="5">
        <v>99.989999999999981</v>
      </c>
      <c r="H274" s="4">
        <v>3</v>
      </c>
    </row>
    <row r="275" spans="1:8" x14ac:dyDescent="0.15">
      <c r="A275" s="2" t="s">
        <v>62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63</v>
      </c>
      <c r="B276" s="4">
        <v>513</v>
      </c>
      <c r="C276" s="5">
        <v>24.22</v>
      </c>
      <c r="D276" s="4">
        <v>109</v>
      </c>
      <c r="E276" s="5">
        <v>12.34</v>
      </c>
      <c r="F276" s="4">
        <v>404</v>
      </c>
      <c r="G276" s="5">
        <v>32.79</v>
      </c>
      <c r="H276" s="4">
        <v>0</v>
      </c>
    </row>
    <row r="277" spans="1:8" x14ac:dyDescent="0.15">
      <c r="A277" s="2" t="s">
        <v>64</v>
      </c>
      <c r="B277" s="4">
        <v>144</v>
      </c>
      <c r="C277" s="5">
        <v>6.8</v>
      </c>
      <c r="D277" s="4">
        <v>32</v>
      </c>
      <c r="E277" s="5">
        <v>3.62</v>
      </c>
      <c r="F277" s="4">
        <v>112</v>
      </c>
      <c r="G277" s="5">
        <v>9.09</v>
      </c>
      <c r="H277" s="4">
        <v>0</v>
      </c>
    </row>
    <row r="278" spans="1:8" x14ac:dyDescent="0.15">
      <c r="A278" s="2" t="s">
        <v>65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66</v>
      </c>
      <c r="B279" s="4">
        <v>27</v>
      </c>
      <c r="C279" s="5">
        <v>1.27</v>
      </c>
      <c r="D279" s="4">
        <v>3</v>
      </c>
      <c r="E279" s="5">
        <v>0.34</v>
      </c>
      <c r="F279" s="4">
        <v>24</v>
      </c>
      <c r="G279" s="5">
        <v>1.95</v>
      </c>
      <c r="H279" s="4">
        <v>0</v>
      </c>
    </row>
    <row r="280" spans="1:8" x14ac:dyDescent="0.15">
      <c r="A280" s="2" t="s">
        <v>67</v>
      </c>
      <c r="B280" s="4">
        <v>31</v>
      </c>
      <c r="C280" s="5">
        <v>1.46</v>
      </c>
      <c r="D280" s="4">
        <v>15</v>
      </c>
      <c r="E280" s="5">
        <v>1.7</v>
      </c>
      <c r="F280" s="4">
        <v>16</v>
      </c>
      <c r="G280" s="5">
        <v>1.3</v>
      </c>
      <c r="H280" s="4">
        <v>0</v>
      </c>
    </row>
    <row r="281" spans="1:8" x14ac:dyDescent="0.15">
      <c r="A281" s="2" t="s">
        <v>68</v>
      </c>
      <c r="B281" s="4">
        <v>381</v>
      </c>
      <c r="C281" s="5">
        <v>17.989999999999998</v>
      </c>
      <c r="D281" s="4">
        <v>144</v>
      </c>
      <c r="E281" s="5">
        <v>16.309999999999999</v>
      </c>
      <c r="F281" s="4">
        <v>237</v>
      </c>
      <c r="G281" s="5">
        <v>19.239999999999998</v>
      </c>
      <c r="H281" s="4">
        <v>0</v>
      </c>
    </row>
    <row r="282" spans="1:8" x14ac:dyDescent="0.15">
      <c r="A282" s="2" t="s">
        <v>69</v>
      </c>
      <c r="B282" s="4">
        <v>11</v>
      </c>
      <c r="C282" s="5">
        <v>0.52</v>
      </c>
      <c r="D282" s="4">
        <v>1</v>
      </c>
      <c r="E282" s="5">
        <v>0.11</v>
      </c>
      <c r="F282" s="4">
        <v>10</v>
      </c>
      <c r="G282" s="5">
        <v>0.81</v>
      </c>
      <c r="H282" s="4">
        <v>0</v>
      </c>
    </row>
    <row r="283" spans="1:8" x14ac:dyDescent="0.15">
      <c r="A283" s="2" t="s">
        <v>70</v>
      </c>
      <c r="B283" s="4">
        <v>182</v>
      </c>
      <c r="C283" s="5">
        <v>8.59</v>
      </c>
      <c r="D283" s="4">
        <v>50</v>
      </c>
      <c r="E283" s="5">
        <v>5.66</v>
      </c>
      <c r="F283" s="4">
        <v>131</v>
      </c>
      <c r="G283" s="5">
        <v>10.63</v>
      </c>
      <c r="H283" s="4">
        <v>1</v>
      </c>
    </row>
    <row r="284" spans="1:8" x14ac:dyDescent="0.15">
      <c r="A284" s="2" t="s">
        <v>71</v>
      </c>
      <c r="B284" s="4">
        <v>116</v>
      </c>
      <c r="C284" s="5">
        <v>5.48</v>
      </c>
      <c r="D284" s="4">
        <v>49</v>
      </c>
      <c r="E284" s="5">
        <v>5.55</v>
      </c>
      <c r="F284" s="4">
        <v>67</v>
      </c>
      <c r="G284" s="5">
        <v>5.44</v>
      </c>
      <c r="H284" s="4">
        <v>0</v>
      </c>
    </row>
    <row r="285" spans="1:8" x14ac:dyDescent="0.15">
      <c r="A285" s="2" t="s">
        <v>72</v>
      </c>
      <c r="B285" s="4">
        <v>143</v>
      </c>
      <c r="C285" s="5">
        <v>6.75</v>
      </c>
      <c r="D285" s="4">
        <v>114</v>
      </c>
      <c r="E285" s="5">
        <v>12.91</v>
      </c>
      <c r="F285" s="4">
        <v>29</v>
      </c>
      <c r="G285" s="5">
        <v>2.35</v>
      </c>
      <c r="H285" s="4">
        <v>0</v>
      </c>
    </row>
    <row r="286" spans="1:8" x14ac:dyDescent="0.15">
      <c r="A286" s="2" t="s">
        <v>73</v>
      </c>
      <c r="B286" s="4">
        <v>246</v>
      </c>
      <c r="C286" s="5">
        <v>11.61</v>
      </c>
      <c r="D286" s="4">
        <v>178</v>
      </c>
      <c r="E286" s="5">
        <v>20.16</v>
      </c>
      <c r="F286" s="4">
        <v>68</v>
      </c>
      <c r="G286" s="5">
        <v>5.52</v>
      </c>
      <c r="H286" s="4">
        <v>0</v>
      </c>
    </row>
    <row r="287" spans="1:8" x14ac:dyDescent="0.15">
      <c r="A287" s="2" t="s">
        <v>74</v>
      </c>
      <c r="B287" s="4">
        <v>111</v>
      </c>
      <c r="C287" s="5">
        <v>5.24</v>
      </c>
      <c r="D287" s="4">
        <v>81</v>
      </c>
      <c r="E287" s="5">
        <v>9.17</v>
      </c>
      <c r="F287" s="4">
        <v>29</v>
      </c>
      <c r="G287" s="5">
        <v>2.35</v>
      </c>
      <c r="H287" s="4">
        <v>1</v>
      </c>
    </row>
    <row r="288" spans="1:8" x14ac:dyDescent="0.15">
      <c r="A288" s="2" t="s">
        <v>75</v>
      </c>
      <c r="B288" s="4">
        <v>132</v>
      </c>
      <c r="C288" s="5">
        <v>6.23</v>
      </c>
      <c r="D288" s="4">
        <v>73</v>
      </c>
      <c r="E288" s="5">
        <v>8.27</v>
      </c>
      <c r="F288" s="4">
        <v>59</v>
      </c>
      <c r="G288" s="5">
        <v>4.79</v>
      </c>
      <c r="H288" s="4">
        <v>0</v>
      </c>
    </row>
    <row r="289" spans="1:8" x14ac:dyDescent="0.15">
      <c r="A289" s="2" t="s">
        <v>76</v>
      </c>
      <c r="B289" s="4">
        <v>81</v>
      </c>
      <c r="C289" s="5">
        <v>3.82</v>
      </c>
      <c r="D289" s="4">
        <v>34</v>
      </c>
      <c r="E289" s="5">
        <v>3.85</v>
      </c>
      <c r="F289" s="4">
        <v>46</v>
      </c>
      <c r="G289" s="5">
        <v>3.73</v>
      </c>
      <c r="H289" s="4">
        <v>1</v>
      </c>
    </row>
    <row r="290" spans="1:8" x14ac:dyDescent="0.15">
      <c r="A290" s="1" t="s">
        <v>18</v>
      </c>
      <c r="B290" s="4">
        <v>3782</v>
      </c>
      <c r="C290" s="5">
        <v>100.01</v>
      </c>
      <c r="D290" s="4">
        <v>1253</v>
      </c>
      <c r="E290" s="5">
        <v>100.01</v>
      </c>
      <c r="F290" s="4">
        <v>2519</v>
      </c>
      <c r="G290" s="5">
        <v>99.98</v>
      </c>
      <c r="H290" s="4">
        <v>10</v>
      </c>
    </row>
    <row r="291" spans="1:8" x14ac:dyDescent="0.15">
      <c r="A291" s="2" t="s">
        <v>62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63</v>
      </c>
      <c r="B292" s="4">
        <v>440</v>
      </c>
      <c r="C292" s="5">
        <v>11.63</v>
      </c>
      <c r="D292" s="4">
        <v>50</v>
      </c>
      <c r="E292" s="5">
        <v>3.99</v>
      </c>
      <c r="F292" s="4">
        <v>390</v>
      </c>
      <c r="G292" s="5">
        <v>15.48</v>
      </c>
      <c r="H292" s="4">
        <v>0</v>
      </c>
    </row>
    <row r="293" spans="1:8" x14ac:dyDescent="0.15">
      <c r="A293" s="2" t="s">
        <v>64</v>
      </c>
      <c r="B293" s="4">
        <v>147</v>
      </c>
      <c r="C293" s="5">
        <v>3.89</v>
      </c>
      <c r="D293" s="4">
        <v>28</v>
      </c>
      <c r="E293" s="5">
        <v>2.23</v>
      </c>
      <c r="F293" s="4">
        <v>118</v>
      </c>
      <c r="G293" s="5">
        <v>4.68</v>
      </c>
      <c r="H293" s="4">
        <v>1</v>
      </c>
    </row>
    <row r="294" spans="1:8" x14ac:dyDescent="0.15">
      <c r="A294" s="2" t="s">
        <v>65</v>
      </c>
      <c r="B294" s="4">
        <v>1</v>
      </c>
      <c r="C294" s="5">
        <v>0.03</v>
      </c>
      <c r="D294" s="4">
        <v>0</v>
      </c>
      <c r="E294" s="5">
        <v>0</v>
      </c>
      <c r="F294" s="4">
        <v>1</v>
      </c>
      <c r="G294" s="5">
        <v>0.04</v>
      </c>
      <c r="H294" s="4">
        <v>0</v>
      </c>
    </row>
    <row r="295" spans="1:8" x14ac:dyDescent="0.15">
      <c r="A295" s="2" t="s">
        <v>66</v>
      </c>
      <c r="B295" s="4">
        <v>118</v>
      </c>
      <c r="C295" s="5">
        <v>3.12</v>
      </c>
      <c r="D295" s="4">
        <v>6</v>
      </c>
      <c r="E295" s="5">
        <v>0.48</v>
      </c>
      <c r="F295" s="4">
        <v>110</v>
      </c>
      <c r="G295" s="5">
        <v>4.37</v>
      </c>
      <c r="H295" s="4">
        <v>2</v>
      </c>
    </row>
    <row r="296" spans="1:8" x14ac:dyDescent="0.15">
      <c r="A296" s="2" t="s">
        <v>67</v>
      </c>
      <c r="B296" s="4">
        <v>18</v>
      </c>
      <c r="C296" s="5">
        <v>0.48</v>
      </c>
      <c r="D296" s="4">
        <v>1</v>
      </c>
      <c r="E296" s="5">
        <v>0.08</v>
      </c>
      <c r="F296" s="4">
        <v>17</v>
      </c>
      <c r="G296" s="5">
        <v>0.67</v>
      </c>
      <c r="H296" s="4">
        <v>0</v>
      </c>
    </row>
    <row r="297" spans="1:8" x14ac:dyDescent="0.15">
      <c r="A297" s="2" t="s">
        <v>68</v>
      </c>
      <c r="B297" s="4">
        <v>825</v>
      </c>
      <c r="C297" s="5">
        <v>21.81</v>
      </c>
      <c r="D297" s="4">
        <v>219</v>
      </c>
      <c r="E297" s="5">
        <v>17.48</v>
      </c>
      <c r="F297" s="4">
        <v>605</v>
      </c>
      <c r="G297" s="5">
        <v>24.02</v>
      </c>
      <c r="H297" s="4">
        <v>1</v>
      </c>
    </row>
    <row r="298" spans="1:8" x14ac:dyDescent="0.15">
      <c r="A298" s="2" t="s">
        <v>69</v>
      </c>
      <c r="B298" s="4">
        <v>26</v>
      </c>
      <c r="C298" s="5">
        <v>0.69</v>
      </c>
      <c r="D298" s="4">
        <v>3</v>
      </c>
      <c r="E298" s="5">
        <v>0.24</v>
      </c>
      <c r="F298" s="4">
        <v>23</v>
      </c>
      <c r="G298" s="5">
        <v>0.91</v>
      </c>
      <c r="H298" s="4">
        <v>0</v>
      </c>
    </row>
    <row r="299" spans="1:8" x14ac:dyDescent="0.15">
      <c r="A299" s="2" t="s">
        <v>70</v>
      </c>
      <c r="B299" s="4">
        <v>452</v>
      </c>
      <c r="C299" s="5">
        <v>11.95</v>
      </c>
      <c r="D299" s="4">
        <v>22</v>
      </c>
      <c r="E299" s="5">
        <v>1.76</v>
      </c>
      <c r="F299" s="4">
        <v>429</v>
      </c>
      <c r="G299" s="5">
        <v>17.03</v>
      </c>
      <c r="H299" s="4">
        <v>1</v>
      </c>
    </row>
    <row r="300" spans="1:8" x14ac:dyDescent="0.15">
      <c r="A300" s="2" t="s">
        <v>71</v>
      </c>
      <c r="B300" s="4">
        <v>338</v>
      </c>
      <c r="C300" s="5">
        <v>8.94</v>
      </c>
      <c r="D300" s="4">
        <v>100</v>
      </c>
      <c r="E300" s="5">
        <v>7.98</v>
      </c>
      <c r="F300" s="4">
        <v>238</v>
      </c>
      <c r="G300" s="5">
        <v>9.4499999999999993</v>
      </c>
      <c r="H300" s="4">
        <v>0</v>
      </c>
    </row>
    <row r="301" spans="1:8" x14ac:dyDescent="0.15">
      <c r="A301" s="2" t="s">
        <v>72</v>
      </c>
      <c r="B301" s="4">
        <v>329</v>
      </c>
      <c r="C301" s="5">
        <v>8.6999999999999993</v>
      </c>
      <c r="D301" s="4">
        <v>208</v>
      </c>
      <c r="E301" s="5">
        <v>16.600000000000001</v>
      </c>
      <c r="F301" s="4">
        <v>121</v>
      </c>
      <c r="G301" s="5">
        <v>4.8</v>
      </c>
      <c r="H301" s="4">
        <v>0</v>
      </c>
    </row>
    <row r="302" spans="1:8" x14ac:dyDescent="0.15">
      <c r="A302" s="2" t="s">
        <v>73</v>
      </c>
      <c r="B302" s="4">
        <v>459</v>
      </c>
      <c r="C302" s="5">
        <v>12.14</v>
      </c>
      <c r="D302" s="4">
        <v>269</v>
      </c>
      <c r="E302" s="5">
        <v>21.47</v>
      </c>
      <c r="F302" s="4">
        <v>188</v>
      </c>
      <c r="G302" s="5">
        <v>7.46</v>
      </c>
      <c r="H302" s="4">
        <v>2</v>
      </c>
    </row>
    <row r="303" spans="1:8" x14ac:dyDescent="0.15">
      <c r="A303" s="2" t="s">
        <v>74</v>
      </c>
      <c r="B303" s="4">
        <v>266</v>
      </c>
      <c r="C303" s="5">
        <v>7.03</v>
      </c>
      <c r="D303" s="4">
        <v>155</v>
      </c>
      <c r="E303" s="5">
        <v>12.37</v>
      </c>
      <c r="F303" s="4">
        <v>110</v>
      </c>
      <c r="G303" s="5">
        <v>4.37</v>
      </c>
      <c r="H303" s="4">
        <v>1</v>
      </c>
    </row>
    <row r="304" spans="1:8" x14ac:dyDescent="0.15">
      <c r="A304" s="2" t="s">
        <v>75</v>
      </c>
      <c r="B304" s="4">
        <v>262</v>
      </c>
      <c r="C304" s="5">
        <v>6.93</v>
      </c>
      <c r="D304" s="4">
        <v>175</v>
      </c>
      <c r="E304" s="5">
        <v>13.97</v>
      </c>
      <c r="F304" s="4">
        <v>85</v>
      </c>
      <c r="G304" s="5">
        <v>3.37</v>
      </c>
      <c r="H304" s="4">
        <v>2</v>
      </c>
    </row>
    <row r="305" spans="1:8" x14ac:dyDescent="0.15">
      <c r="A305" s="2" t="s">
        <v>76</v>
      </c>
      <c r="B305" s="4">
        <v>101</v>
      </c>
      <c r="C305" s="5">
        <v>2.67</v>
      </c>
      <c r="D305" s="4">
        <v>17</v>
      </c>
      <c r="E305" s="5">
        <v>1.36</v>
      </c>
      <c r="F305" s="4">
        <v>84</v>
      </c>
      <c r="G305" s="5">
        <v>3.33</v>
      </c>
      <c r="H305" s="4">
        <v>0</v>
      </c>
    </row>
    <row r="306" spans="1:8" x14ac:dyDescent="0.15">
      <c r="A306" s="1" t="s">
        <v>19</v>
      </c>
      <c r="B306" s="4">
        <v>3633</v>
      </c>
      <c r="C306" s="5">
        <v>99.990000000000009</v>
      </c>
      <c r="D306" s="4">
        <v>866</v>
      </c>
      <c r="E306" s="5">
        <v>100.01999999999998</v>
      </c>
      <c r="F306" s="4">
        <v>2763</v>
      </c>
      <c r="G306" s="5">
        <v>100</v>
      </c>
      <c r="H306" s="4">
        <v>4</v>
      </c>
    </row>
    <row r="307" spans="1:8" x14ac:dyDescent="0.15">
      <c r="A307" s="2" t="s">
        <v>62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63</v>
      </c>
      <c r="B308" s="4">
        <v>568</v>
      </c>
      <c r="C308" s="5">
        <v>15.63</v>
      </c>
      <c r="D308" s="4">
        <v>65</v>
      </c>
      <c r="E308" s="5">
        <v>7.51</v>
      </c>
      <c r="F308" s="4">
        <v>503</v>
      </c>
      <c r="G308" s="5">
        <v>18.2</v>
      </c>
      <c r="H308" s="4">
        <v>0</v>
      </c>
    </row>
    <row r="309" spans="1:8" x14ac:dyDescent="0.15">
      <c r="A309" s="2" t="s">
        <v>64</v>
      </c>
      <c r="B309" s="4">
        <v>675</v>
      </c>
      <c r="C309" s="5">
        <v>18.579999999999998</v>
      </c>
      <c r="D309" s="4">
        <v>99</v>
      </c>
      <c r="E309" s="5">
        <v>11.43</v>
      </c>
      <c r="F309" s="4">
        <v>576</v>
      </c>
      <c r="G309" s="5">
        <v>20.85</v>
      </c>
      <c r="H309" s="4">
        <v>0</v>
      </c>
    </row>
    <row r="310" spans="1:8" x14ac:dyDescent="0.15">
      <c r="A310" s="2" t="s">
        <v>65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66</v>
      </c>
      <c r="B311" s="4">
        <v>60</v>
      </c>
      <c r="C311" s="5">
        <v>1.65</v>
      </c>
      <c r="D311" s="4">
        <v>2</v>
      </c>
      <c r="E311" s="5">
        <v>0.23</v>
      </c>
      <c r="F311" s="4">
        <v>58</v>
      </c>
      <c r="G311" s="5">
        <v>2.1</v>
      </c>
      <c r="H311" s="4">
        <v>0</v>
      </c>
    </row>
    <row r="312" spans="1:8" x14ac:dyDescent="0.15">
      <c r="A312" s="2" t="s">
        <v>67</v>
      </c>
      <c r="B312" s="4">
        <v>24</v>
      </c>
      <c r="C312" s="5">
        <v>0.66</v>
      </c>
      <c r="D312" s="4">
        <v>1</v>
      </c>
      <c r="E312" s="5">
        <v>0.12</v>
      </c>
      <c r="F312" s="4">
        <v>23</v>
      </c>
      <c r="G312" s="5">
        <v>0.83</v>
      </c>
      <c r="H312" s="4">
        <v>0</v>
      </c>
    </row>
    <row r="313" spans="1:8" x14ac:dyDescent="0.15">
      <c r="A313" s="2" t="s">
        <v>68</v>
      </c>
      <c r="B313" s="4">
        <v>707</v>
      </c>
      <c r="C313" s="5">
        <v>19.46</v>
      </c>
      <c r="D313" s="4">
        <v>129</v>
      </c>
      <c r="E313" s="5">
        <v>14.9</v>
      </c>
      <c r="F313" s="4">
        <v>578</v>
      </c>
      <c r="G313" s="5">
        <v>20.92</v>
      </c>
      <c r="H313" s="4">
        <v>0</v>
      </c>
    </row>
    <row r="314" spans="1:8" x14ac:dyDescent="0.15">
      <c r="A314" s="2" t="s">
        <v>69</v>
      </c>
      <c r="B314" s="4">
        <v>25</v>
      </c>
      <c r="C314" s="5">
        <v>0.69</v>
      </c>
      <c r="D314" s="4">
        <v>1</v>
      </c>
      <c r="E314" s="5">
        <v>0.12</v>
      </c>
      <c r="F314" s="4">
        <v>24</v>
      </c>
      <c r="G314" s="5">
        <v>0.87</v>
      </c>
      <c r="H314" s="4">
        <v>0</v>
      </c>
    </row>
    <row r="315" spans="1:8" x14ac:dyDescent="0.15">
      <c r="A315" s="2" t="s">
        <v>70</v>
      </c>
      <c r="B315" s="4">
        <v>379</v>
      </c>
      <c r="C315" s="5">
        <v>10.43</v>
      </c>
      <c r="D315" s="4">
        <v>17</v>
      </c>
      <c r="E315" s="5">
        <v>1.96</v>
      </c>
      <c r="F315" s="4">
        <v>361</v>
      </c>
      <c r="G315" s="5">
        <v>13.07</v>
      </c>
      <c r="H315" s="4">
        <v>1</v>
      </c>
    </row>
    <row r="316" spans="1:8" x14ac:dyDescent="0.15">
      <c r="A316" s="2" t="s">
        <v>71</v>
      </c>
      <c r="B316" s="4">
        <v>188</v>
      </c>
      <c r="C316" s="5">
        <v>5.17</v>
      </c>
      <c r="D316" s="4">
        <v>60</v>
      </c>
      <c r="E316" s="5">
        <v>6.93</v>
      </c>
      <c r="F316" s="4">
        <v>126</v>
      </c>
      <c r="G316" s="5">
        <v>4.5599999999999996</v>
      </c>
      <c r="H316" s="4">
        <v>2</v>
      </c>
    </row>
    <row r="317" spans="1:8" x14ac:dyDescent="0.15">
      <c r="A317" s="2" t="s">
        <v>72</v>
      </c>
      <c r="B317" s="4">
        <v>201</v>
      </c>
      <c r="C317" s="5">
        <v>5.53</v>
      </c>
      <c r="D317" s="4">
        <v>120</v>
      </c>
      <c r="E317" s="5">
        <v>13.86</v>
      </c>
      <c r="F317" s="4">
        <v>81</v>
      </c>
      <c r="G317" s="5">
        <v>2.93</v>
      </c>
      <c r="H317" s="4">
        <v>0</v>
      </c>
    </row>
    <row r="318" spans="1:8" x14ac:dyDescent="0.15">
      <c r="A318" s="2" t="s">
        <v>73</v>
      </c>
      <c r="B318" s="4">
        <v>297</v>
      </c>
      <c r="C318" s="5">
        <v>8.18</v>
      </c>
      <c r="D318" s="4">
        <v>166</v>
      </c>
      <c r="E318" s="5">
        <v>19.170000000000002</v>
      </c>
      <c r="F318" s="4">
        <v>131</v>
      </c>
      <c r="G318" s="5">
        <v>4.74</v>
      </c>
      <c r="H318" s="4">
        <v>0</v>
      </c>
    </row>
    <row r="319" spans="1:8" x14ac:dyDescent="0.15">
      <c r="A319" s="2" t="s">
        <v>74</v>
      </c>
      <c r="B319" s="4">
        <v>156</v>
      </c>
      <c r="C319" s="5">
        <v>4.29</v>
      </c>
      <c r="D319" s="4">
        <v>74</v>
      </c>
      <c r="E319" s="5">
        <v>8.5500000000000007</v>
      </c>
      <c r="F319" s="4">
        <v>82</v>
      </c>
      <c r="G319" s="5">
        <v>2.97</v>
      </c>
      <c r="H319" s="4">
        <v>0</v>
      </c>
    </row>
    <row r="320" spans="1:8" x14ac:dyDescent="0.15">
      <c r="A320" s="2" t="s">
        <v>75</v>
      </c>
      <c r="B320" s="4">
        <v>166</v>
      </c>
      <c r="C320" s="5">
        <v>4.57</v>
      </c>
      <c r="D320" s="4">
        <v>93</v>
      </c>
      <c r="E320" s="5">
        <v>10.74</v>
      </c>
      <c r="F320" s="4">
        <v>73</v>
      </c>
      <c r="G320" s="5">
        <v>2.64</v>
      </c>
      <c r="H320" s="4">
        <v>0</v>
      </c>
    </row>
    <row r="321" spans="1:8" x14ac:dyDescent="0.15">
      <c r="A321" s="2" t="s">
        <v>76</v>
      </c>
      <c r="B321" s="4">
        <v>187</v>
      </c>
      <c r="C321" s="5">
        <v>5.15</v>
      </c>
      <c r="D321" s="4">
        <v>39</v>
      </c>
      <c r="E321" s="5">
        <v>4.5</v>
      </c>
      <c r="F321" s="4">
        <v>147</v>
      </c>
      <c r="G321" s="5">
        <v>5.32</v>
      </c>
      <c r="H321" s="4">
        <v>1</v>
      </c>
    </row>
    <row r="322" spans="1:8" x14ac:dyDescent="0.15">
      <c r="A322" s="1" t="s">
        <v>20</v>
      </c>
      <c r="B322" s="4">
        <v>22453</v>
      </c>
      <c r="C322" s="5">
        <v>100</v>
      </c>
      <c r="D322" s="4">
        <v>9425</v>
      </c>
      <c r="E322" s="5">
        <v>99.99</v>
      </c>
      <c r="F322" s="4">
        <v>13012</v>
      </c>
      <c r="G322" s="5">
        <v>100.00999999999999</v>
      </c>
      <c r="H322" s="4">
        <v>16</v>
      </c>
    </row>
    <row r="323" spans="1:8" x14ac:dyDescent="0.15">
      <c r="A323" s="2" t="s">
        <v>62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63</v>
      </c>
      <c r="B324" s="4">
        <v>3058</v>
      </c>
      <c r="C324" s="5">
        <v>13.62</v>
      </c>
      <c r="D324" s="4">
        <v>461</v>
      </c>
      <c r="E324" s="5">
        <v>4.8899999999999997</v>
      </c>
      <c r="F324" s="4">
        <v>2597</v>
      </c>
      <c r="G324" s="5">
        <v>19.96</v>
      </c>
      <c r="H324" s="4">
        <v>0</v>
      </c>
    </row>
    <row r="325" spans="1:8" x14ac:dyDescent="0.15">
      <c r="A325" s="2" t="s">
        <v>64</v>
      </c>
      <c r="B325" s="4">
        <v>2162</v>
      </c>
      <c r="C325" s="5">
        <v>9.6300000000000008</v>
      </c>
      <c r="D325" s="4">
        <v>419</v>
      </c>
      <c r="E325" s="5">
        <v>4.45</v>
      </c>
      <c r="F325" s="4">
        <v>1743</v>
      </c>
      <c r="G325" s="5">
        <v>13.4</v>
      </c>
      <c r="H325" s="4">
        <v>0</v>
      </c>
    </row>
    <row r="326" spans="1:8" x14ac:dyDescent="0.15">
      <c r="A326" s="2" t="s">
        <v>65</v>
      </c>
      <c r="B326" s="4">
        <v>4</v>
      </c>
      <c r="C326" s="5">
        <v>0.02</v>
      </c>
      <c r="D326" s="4">
        <v>0</v>
      </c>
      <c r="E326" s="5">
        <v>0</v>
      </c>
      <c r="F326" s="4">
        <v>4</v>
      </c>
      <c r="G326" s="5">
        <v>0.03</v>
      </c>
      <c r="H326" s="4">
        <v>0</v>
      </c>
    </row>
    <row r="327" spans="1:8" x14ac:dyDescent="0.15">
      <c r="A327" s="2" t="s">
        <v>66</v>
      </c>
      <c r="B327" s="4">
        <v>322</v>
      </c>
      <c r="C327" s="5">
        <v>1.43</v>
      </c>
      <c r="D327" s="4">
        <v>5</v>
      </c>
      <c r="E327" s="5">
        <v>0.05</v>
      </c>
      <c r="F327" s="4">
        <v>317</v>
      </c>
      <c r="G327" s="5">
        <v>2.44</v>
      </c>
      <c r="H327" s="4">
        <v>0</v>
      </c>
    </row>
    <row r="328" spans="1:8" x14ac:dyDescent="0.15">
      <c r="A328" s="2" t="s">
        <v>67</v>
      </c>
      <c r="B328" s="4">
        <v>444</v>
      </c>
      <c r="C328" s="5">
        <v>1.98</v>
      </c>
      <c r="D328" s="4">
        <v>218</v>
      </c>
      <c r="E328" s="5">
        <v>2.31</v>
      </c>
      <c r="F328" s="4">
        <v>226</v>
      </c>
      <c r="G328" s="5">
        <v>1.74</v>
      </c>
      <c r="H328" s="4">
        <v>0</v>
      </c>
    </row>
    <row r="329" spans="1:8" x14ac:dyDescent="0.15">
      <c r="A329" s="2" t="s">
        <v>68</v>
      </c>
      <c r="B329" s="4">
        <v>4306</v>
      </c>
      <c r="C329" s="5">
        <v>19.18</v>
      </c>
      <c r="D329" s="4">
        <v>1517</v>
      </c>
      <c r="E329" s="5">
        <v>16.100000000000001</v>
      </c>
      <c r="F329" s="4">
        <v>2787</v>
      </c>
      <c r="G329" s="5">
        <v>21.42</v>
      </c>
      <c r="H329" s="4">
        <v>2</v>
      </c>
    </row>
    <row r="330" spans="1:8" x14ac:dyDescent="0.15">
      <c r="A330" s="2" t="s">
        <v>69</v>
      </c>
      <c r="B330" s="4">
        <v>94</v>
      </c>
      <c r="C330" s="5">
        <v>0.42</v>
      </c>
      <c r="D330" s="4">
        <v>7</v>
      </c>
      <c r="E330" s="5">
        <v>7.0000000000000007E-2</v>
      </c>
      <c r="F330" s="4">
        <v>87</v>
      </c>
      <c r="G330" s="5">
        <v>0.67</v>
      </c>
      <c r="H330" s="4">
        <v>0</v>
      </c>
    </row>
    <row r="331" spans="1:8" x14ac:dyDescent="0.15">
      <c r="A331" s="2" t="s">
        <v>70</v>
      </c>
      <c r="B331" s="4">
        <v>3097</v>
      </c>
      <c r="C331" s="5">
        <v>13.79</v>
      </c>
      <c r="D331" s="4">
        <v>1211</v>
      </c>
      <c r="E331" s="5">
        <v>12.85</v>
      </c>
      <c r="F331" s="4">
        <v>1885</v>
      </c>
      <c r="G331" s="5">
        <v>14.49</v>
      </c>
      <c r="H331" s="4">
        <v>1</v>
      </c>
    </row>
    <row r="332" spans="1:8" x14ac:dyDescent="0.15">
      <c r="A332" s="2" t="s">
        <v>71</v>
      </c>
      <c r="B332" s="4">
        <v>1107</v>
      </c>
      <c r="C332" s="5">
        <v>4.93</v>
      </c>
      <c r="D332" s="4">
        <v>435</v>
      </c>
      <c r="E332" s="5">
        <v>4.62</v>
      </c>
      <c r="F332" s="4">
        <v>671</v>
      </c>
      <c r="G332" s="5">
        <v>5.16</v>
      </c>
      <c r="H332" s="4">
        <v>1</v>
      </c>
    </row>
    <row r="333" spans="1:8" x14ac:dyDescent="0.15">
      <c r="A333" s="2" t="s">
        <v>72</v>
      </c>
      <c r="B333" s="4">
        <v>2946</v>
      </c>
      <c r="C333" s="5">
        <v>13.12</v>
      </c>
      <c r="D333" s="4">
        <v>2204</v>
      </c>
      <c r="E333" s="5">
        <v>23.38</v>
      </c>
      <c r="F333" s="4">
        <v>741</v>
      </c>
      <c r="G333" s="5">
        <v>5.69</v>
      </c>
      <c r="H333" s="4">
        <v>1</v>
      </c>
    </row>
    <row r="334" spans="1:8" x14ac:dyDescent="0.15">
      <c r="A334" s="2" t="s">
        <v>73</v>
      </c>
      <c r="B334" s="4">
        <v>2412</v>
      </c>
      <c r="C334" s="5">
        <v>10.74</v>
      </c>
      <c r="D334" s="4">
        <v>1644</v>
      </c>
      <c r="E334" s="5">
        <v>17.440000000000001</v>
      </c>
      <c r="F334" s="4">
        <v>766</v>
      </c>
      <c r="G334" s="5">
        <v>5.89</v>
      </c>
      <c r="H334" s="4">
        <v>2</v>
      </c>
    </row>
    <row r="335" spans="1:8" x14ac:dyDescent="0.15">
      <c r="A335" s="2" t="s">
        <v>74</v>
      </c>
      <c r="B335" s="4">
        <v>692</v>
      </c>
      <c r="C335" s="5">
        <v>3.08</v>
      </c>
      <c r="D335" s="4">
        <v>444</v>
      </c>
      <c r="E335" s="5">
        <v>4.71</v>
      </c>
      <c r="F335" s="4">
        <v>245</v>
      </c>
      <c r="G335" s="5">
        <v>1.88</v>
      </c>
      <c r="H335" s="4">
        <v>3</v>
      </c>
    </row>
    <row r="336" spans="1:8" x14ac:dyDescent="0.15">
      <c r="A336" s="2" t="s">
        <v>75</v>
      </c>
      <c r="B336" s="4">
        <v>1153</v>
      </c>
      <c r="C336" s="5">
        <v>5.14</v>
      </c>
      <c r="D336" s="4">
        <v>725</v>
      </c>
      <c r="E336" s="5">
        <v>7.69</v>
      </c>
      <c r="F336" s="4">
        <v>426</v>
      </c>
      <c r="G336" s="5">
        <v>3.27</v>
      </c>
      <c r="H336" s="4">
        <v>2</v>
      </c>
    </row>
    <row r="337" spans="1:8" x14ac:dyDescent="0.15">
      <c r="A337" s="2" t="s">
        <v>76</v>
      </c>
      <c r="B337" s="4">
        <v>656</v>
      </c>
      <c r="C337" s="5">
        <v>2.92</v>
      </c>
      <c r="D337" s="4">
        <v>135</v>
      </c>
      <c r="E337" s="5">
        <v>1.43</v>
      </c>
      <c r="F337" s="4">
        <v>517</v>
      </c>
      <c r="G337" s="5">
        <v>3.97</v>
      </c>
      <c r="H337" s="4">
        <v>4</v>
      </c>
    </row>
    <row r="338" spans="1:8" x14ac:dyDescent="0.15">
      <c r="A338" s="1" t="s">
        <v>21</v>
      </c>
      <c r="B338" s="4">
        <v>5553</v>
      </c>
      <c r="C338" s="5">
        <v>100.01</v>
      </c>
      <c r="D338" s="4">
        <v>2337</v>
      </c>
      <c r="E338" s="5">
        <v>100.01</v>
      </c>
      <c r="F338" s="4">
        <v>3211</v>
      </c>
      <c r="G338" s="5">
        <v>100.01000000000002</v>
      </c>
      <c r="H338" s="4">
        <v>5</v>
      </c>
    </row>
    <row r="339" spans="1:8" x14ac:dyDescent="0.15">
      <c r="A339" s="2" t="s">
        <v>62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63</v>
      </c>
      <c r="B340" s="4">
        <v>826</v>
      </c>
      <c r="C340" s="5">
        <v>14.87</v>
      </c>
      <c r="D340" s="4">
        <v>95</v>
      </c>
      <c r="E340" s="5">
        <v>4.07</v>
      </c>
      <c r="F340" s="4">
        <v>731</v>
      </c>
      <c r="G340" s="5">
        <v>22.77</v>
      </c>
      <c r="H340" s="4">
        <v>0</v>
      </c>
    </row>
    <row r="341" spans="1:8" x14ac:dyDescent="0.15">
      <c r="A341" s="2" t="s">
        <v>64</v>
      </c>
      <c r="B341" s="4">
        <v>541</v>
      </c>
      <c r="C341" s="5">
        <v>9.74</v>
      </c>
      <c r="D341" s="4">
        <v>69</v>
      </c>
      <c r="E341" s="5">
        <v>2.95</v>
      </c>
      <c r="F341" s="4">
        <v>472</v>
      </c>
      <c r="G341" s="5">
        <v>14.7</v>
      </c>
      <c r="H341" s="4">
        <v>0</v>
      </c>
    </row>
    <row r="342" spans="1:8" x14ac:dyDescent="0.15">
      <c r="A342" s="2" t="s">
        <v>65</v>
      </c>
      <c r="B342" s="4">
        <v>1</v>
      </c>
      <c r="C342" s="5">
        <v>0.02</v>
      </c>
      <c r="D342" s="4">
        <v>0</v>
      </c>
      <c r="E342" s="5">
        <v>0</v>
      </c>
      <c r="F342" s="4">
        <v>1</v>
      </c>
      <c r="G342" s="5">
        <v>0.03</v>
      </c>
      <c r="H342" s="4">
        <v>0</v>
      </c>
    </row>
    <row r="343" spans="1:8" x14ac:dyDescent="0.15">
      <c r="A343" s="2" t="s">
        <v>66</v>
      </c>
      <c r="B343" s="4">
        <v>48</v>
      </c>
      <c r="C343" s="5">
        <v>0.86</v>
      </c>
      <c r="D343" s="4">
        <v>1</v>
      </c>
      <c r="E343" s="5">
        <v>0.04</v>
      </c>
      <c r="F343" s="4">
        <v>47</v>
      </c>
      <c r="G343" s="5">
        <v>1.46</v>
      </c>
      <c r="H343" s="4">
        <v>0</v>
      </c>
    </row>
    <row r="344" spans="1:8" x14ac:dyDescent="0.15">
      <c r="A344" s="2" t="s">
        <v>67</v>
      </c>
      <c r="B344" s="4">
        <v>193</v>
      </c>
      <c r="C344" s="5">
        <v>3.48</v>
      </c>
      <c r="D344" s="4">
        <v>52</v>
      </c>
      <c r="E344" s="5">
        <v>2.23</v>
      </c>
      <c r="F344" s="4">
        <v>141</v>
      </c>
      <c r="G344" s="5">
        <v>4.3899999999999997</v>
      </c>
      <c r="H344" s="4">
        <v>0</v>
      </c>
    </row>
    <row r="345" spans="1:8" x14ac:dyDescent="0.15">
      <c r="A345" s="2" t="s">
        <v>68</v>
      </c>
      <c r="B345" s="4">
        <v>1132</v>
      </c>
      <c r="C345" s="5">
        <v>20.39</v>
      </c>
      <c r="D345" s="4">
        <v>400</v>
      </c>
      <c r="E345" s="5">
        <v>17.12</v>
      </c>
      <c r="F345" s="4">
        <v>732</v>
      </c>
      <c r="G345" s="5">
        <v>22.8</v>
      </c>
      <c r="H345" s="4">
        <v>0</v>
      </c>
    </row>
    <row r="346" spans="1:8" x14ac:dyDescent="0.15">
      <c r="A346" s="2" t="s">
        <v>69</v>
      </c>
      <c r="B346" s="4">
        <v>20</v>
      </c>
      <c r="C346" s="5">
        <v>0.36</v>
      </c>
      <c r="D346" s="4">
        <v>3</v>
      </c>
      <c r="E346" s="5">
        <v>0.13</v>
      </c>
      <c r="F346" s="4">
        <v>17</v>
      </c>
      <c r="G346" s="5">
        <v>0.53</v>
      </c>
      <c r="H346" s="4">
        <v>0</v>
      </c>
    </row>
    <row r="347" spans="1:8" x14ac:dyDescent="0.15">
      <c r="A347" s="2" t="s">
        <v>70</v>
      </c>
      <c r="B347" s="4">
        <v>675</v>
      </c>
      <c r="C347" s="5">
        <v>12.16</v>
      </c>
      <c r="D347" s="4">
        <v>341</v>
      </c>
      <c r="E347" s="5">
        <v>14.59</v>
      </c>
      <c r="F347" s="4">
        <v>333</v>
      </c>
      <c r="G347" s="5">
        <v>10.37</v>
      </c>
      <c r="H347" s="4">
        <v>1</v>
      </c>
    </row>
    <row r="348" spans="1:8" x14ac:dyDescent="0.15">
      <c r="A348" s="2" t="s">
        <v>71</v>
      </c>
      <c r="B348" s="4">
        <v>230</v>
      </c>
      <c r="C348" s="5">
        <v>4.1399999999999997</v>
      </c>
      <c r="D348" s="4">
        <v>113</v>
      </c>
      <c r="E348" s="5">
        <v>4.84</v>
      </c>
      <c r="F348" s="4">
        <v>117</v>
      </c>
      <c r="G348" s="5">
        <v>3.64</v>
      </c>
      <c r="H348" s="4">
        <v>0</v>
      </c>
    </row>
    <row r="349" spans="1:8" x14ac:dyDescent="0.15">
      <c r="A349" s="2" t="s">
        <v>72</v>
      </c>
      <c r="B349" s="4">
        <v>871</v>
      </c>
      <c r="C349" s="5">
        <v>15.69</v>
      </c>
      <c r="D349" s="4">
        <v>678</v>
      </c>
      <c r="E349" s="5">
        <v>29.01</v>
      </c>
      <c r="F349" s="4">
        <v>193</v>
      </c>
      <c r="G349" s="5">
        <v>6.01</v>
      </c>
      <c r="H349" s="4">
        <v>0</v>
      </c>
    </row>
    <row r="350" spans="1:8" x14ac:dyDescent="0.15">
      <c r="A350" s="2" t="s">
        <v>73</v>
      </c>
      <c r="B350" s="4">
        <v>514</v>
      </c>
      <c r="C350" s="5">
        <v>9.26</v>
      </c>
      <c r="D350" s="4">
        <v>374</v>
      </c>
      <c r="E350" s="5">
        <v>16</v>
      </c>
      <c r="F350" s="4">
        <v>138</v>
      </c>
      <c r="G350" s="5">
        <v>4.3</v>
      </c>
      <c r="H350" s="4">
        <v>2</v>
      </c>
    </row>
    <row r="351" spans="1:8" x14ac:dyDescent="0.15">
      <c r="A351" s="2" t="s">
        <v>74</v>
      </c>
      <c r="B351" s="4">
        <v>94</v>
      </c>
      <c r="C351" s="5">
        <v>1.69</v>
      </c>
      <c r="D351" s="4">
        <v>62</v>
      </c>
      <c r="E351" s="5">
        <v>2.65</v>
      </c>
      <c r="F351" s="4">
        <v>32</v>
      </c>
      <c r="G351" s="5">
        <v>1</v>
      </c>
      <c r="H351" s="4">
        <v>0</v>
      </c>
    </row>
    <row r="352" spans="1:8" x14ac:dyDescent="0.15">
      <c r="A352" s="2" t="s">
        <v>75</v>
      </c>
      <c r="B352" s="4">
        <v>207</v>
      </c>
      <c r="C352" s="5">
        <v>3.73</v>
      </c>
      <c r="D352" s="4">
        <v>121</v>
      </c>
      <c r="E352" s="5">
        <v>5.18</v>
      </c>
      <c r="F352" s="4">
        <v>85</v>
      </c>
      <c r="G352" s="5">
        <v>2.65</v>
      </c>
      <c r="H352" s="4">
        <v>1</v>
      </c>
    </row>
    <row r="353" spans="1:8" x14ac:dyDescent="0.15">
      <c r="A353" s="2" t="s">
        <v>76</v>
      </c>
      <c r="B353" s="4">
        <v>201</v>
      </c>
      <c r="C353" s="5">
        <v>3.62</v>
      </c>
      <c r="D353" s="4">
        <v>28</v>
      </c>
      <c r="E353" s="5">
        <v>1.2</v>
      </c>
      <c r="F353" s="4">
        <v>172</v>
      </c>
      <c r="G353" s="5">
        <v>5.36</v>
      </c>
      <c r="H353" s="4">
        <v>1</v>
      </c>
    </row>
    <row r="354" spans="1:8" x14ac:dyDescent="0.15">
      <c r="A354" s="1" t="s">
        <v>22</v>
      </c>
      <c r="B354" s="4">
        <v>2652</v>
      </c>
      <c r="C354" s="5">
        <v>99.999999999999986</v>
      </c>
      <c r="D354" s="4">
        <v>1253</v>
      </c>
      <c r="E354" s="5">
        <v>99.999999999999986</v>
      </c>
      <c r="F354" s="4">
        <v>1398</v>
      </c>
      <c r="G354" s="5">
        <v>100</v>
      </c>
      <c r="H354" s="4">
        <v>1</v>
      </c>
    </row>
    <row r="355" spans="1:8" x14ac:dyDescent="0.15">
      <c r="A355" s="2" t="s">
        <v>62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63</v>
      </c>
      <c r="B356" s="4">
        <v>379</v>
      </c>
      <c r="C356" s="5">
        <v>14.29</v>
      </c>
      <c r="D356" s="4">
        <v>64</v>
      </c>
      <c r="E356" s="5">
        <v>5.1100000000000003</v>
      </c>
      <c r="F356" s="4">
        <v>315</v>
      </c>
      <c r="G356" s="5">
        <v>22.53</v>
      </c>
      <c r="H356" s="4">
        <v>0</v>
      </c>
    </row>
    <row r="357" spans="1:8" x14ac:dyDescent="0.15">
      <c r="A357" s="2" t="s">
        <v>64</v>
      </c>
      <c r="B357" s="4">
        <v>273</v>
      </c>
      <c r="C357" s="5">
        <v>10.29</v>
      </c>
      <c r="D357" s="4">
        <v>46</v>
      </c>
      <c r="E357" s="5">
        <v>3.67</v>
      </c>
      <c r="F357" s="4">
        <v>227</v>
      </c>
      <c r="G357" s="5">
        <v>16.239999999999998</v>
      </c>
      <c r="H357" s="4">
        <v>0</v>
      </c>
    </row>
    <row r="358" spans="1:8" x14ac:dyDescent="0.15">
      <c r="A358" s="2" t="s">
        <v>65</v>
      </c>
      <c r="B358" s="4">
        <v>2</v>
      </c>
      <c r="C358" s="5">
        <v>0.08</v>
      </c>
      <c r="D358" s="4">
        <v>0</v>
      </c>
      <c r="E358" s="5">
        <v>0</v>
      </c>
      <c r="F358" s="4">
        <v>2</v>
      </c>
      <c r="G358" s="5">
        <v>0.14000000000000001</v>
      </c>
      <c r="H358" s="4">
        <v>0</v>
      </c>
    </row>
    <row r="359" spans="1:8" x14ac:dyDescent="0.15">
      <c r="A359" s="2" t="s">
        <v>66</v>
      </c>
      <c r="B359" s="4">
        <v>18</v>
      </c>
      <c r="C359" s="5">
        <v>0.68</v>
      </c>
      <c r="D359" s="4">
        <v>0</v>
      </c>
      <c r="E359" s="5">
        <v>0</v>
      </c>
      <c r="F359" s="4">
        <v>18</v>
      </c>
      <c r="G359" s="5">
        <v>1.29</v>
      </c>
      <c r="H359" s="4">
        <v>0</v>
      </c>
    </row>
    <row r="360" spans="1:8" x14ac:dyDescent="0.15">
      <c r="A360" s="2" t="s">
        <v>67</v>
      </c>
      <c r="B360" s="4">
        <v>79</v>
      </c>
      <c r="C360" s="5">
        <v>2.98</v>
      </c>
      <c r="D360" s="4">
        <v>60</v>
      </c>
      <c r="E360" s="5">
        <v>4.79</v>
      </c>
      <c r="F360" s="4">
        <v>19</v>
      </c>
      <c r="G360" s="5">
        <v>1.36</v>
      </c>
      <c r="H360" s="4">
        <v>0</v>
      </c>
    </row>
    <row r="361" spans="1:8" x14ac:dyDescent="0.15">
      <c r="A361" s="2" t="s">
        <v>68</v>
      </c>
      <c r="B361" s="4">
        <v>532</v>
      </c>
      <c r="C361" s="5">
        <v>20.059999999999999</v>
      </c>
      <c r="D361" s="4">
        <v>218</v>
      </c>
      <c r="E361" s="5">
        <v>17.399999999999999</v>
      </c>
      <c r="F361" s="4">
        <v>313</v>
      </c>
      <c r="G361" s="5">
        <v>22.39</v>
      </c>
      <c r="H361" s="4">
        <v>1</v>
      </c>
    </row>
    <row r="362" spans="1:8" x14ac:dyDescent="0.15">
      <c r="A362" s="2" t="s">
        <v>69</v>
      </c>
      <c r="B362" s="4">
        <v>6</v>
      </c>
      <c r="C362" s="5">
        <v>0.23</v>
      </c>
      <c r="D362" s="4">
        <v>0</v>
      </c>
      <c r="E362" s="5">
        <v>0</v>
      </c>
      <c r="F362" s="4">
        <v>6</v>
      </c>
      <c r="G362" s="5">
        <v>0.43</v>
      </c>
      <c r="H362" s="4">
        <v>0</v>
      </c>
    </row>
    <row r="363" spans="1:8" x14ac:dyDescent="0.15">
      <c r="A363" s="2" t="s">
        <v>70</v>
      </c>
      <c r="B363" s="4">
        <v>341</v>
      </c>
      <c r="C363" s="5">
        <v>12.86</v>
      </c>
      <c r="D363" s="4">
        <v>149</v>
      </c>
      <c r="E363" s="5">
        <v>11.89</v>
      </c>
      <c r="F363" s="4">
        <v>192</v>
      </c>
      <c r="G363" s="5">
        <v>13.73</v>
      </c>
      <c r="H363" s="4">
        <v>0</v>
      </c>
    </row>
    <row r="364" spans="1:8" x14ac:dyDescent="0.15">
      <c r="A364" s="2" t="s">
        <v>71</v>
      </c>
      <c r="B364" s="4">
        <v>94</v>
      </c>
      <c r="C364" s="5">
        <v>3.54</v>
      </c>
      <c r="D364" s="4">
        <v>40</v>
      </c>
      <c r="E364" s="5">
        <v>3.19</v>
      </c>
      <c r="F364" s="4">
        <v>54</v>
      </c>
      <c r="G364" s="5">
        <v>3.86</v>
      </c>
      <c r="H364" s="4">
        <v>0</v>
      </c>
    </row>
    <row r="365" spans="1:8" x14ac:dyDescent="0.15">
      <c r="A365" s="2" t="s">
        <v>72</v>
      </c>
      <c r="B365" s="4">
        <v>363</v>
      </c>
      <c r="C365" s="5">
        <v>13.69</v>
      </c>
      <c r="D365" s="4">
        <v>290</v>
      </c>
      <c r="E365" s="5">
        <v>23.14</v>
      </c>
      <c r="F365" s="4">
        <v>73</v>
      </c>
      <c r="G365" s="5">
        <v>5.22</v>
      </c>
      <c r="H365" s="4">
        <v>0</v>
      </c>
    </row>
    <row r="366" spans="1:8" x14ac:dyDescent="0.15">
      <c r="A366" s="2" t="s">
        <v>73</v>
      </c>
      <c r="B366" s="4">
        <v>325</v>
      </c>
      <c r="C366" s="5">
        <v>12.25</v>
      </c>
      <c r="D366" s="4">
        <v>253</v>
      </c>
      <c r="E366" s="5">
        <v>20.190000000000001</v>
      </c>
      <c r="F366" s="4">
        <v>72</v>
      </c>
      <c r="G366" s="5">
        <v>5.15</v>
      </c>
      <c r="H366" s="4">
        <v>0</v>
      </c>
    </row>
    <row r="367" spans="1:8" x14ac:dyDescent="0.15">
      <c r="A367" s="2" t="s">
        <v>74</v>
      </c>
      <c r="B367" s="4">
        <v>69</v>
      </c>
      <c r="C367" s="5">
        <v>2.6</v>
      </c>
      <c r="D367" s="4">
        <v>45</v>
      </c>
      <c r="E367" s="5">
        <v>3.59</v>
      </c>
      <c r="F367" s="4">
        <v>24</v>
      </c>
      <c r="G367" s="5">
        <v>1.72</v>
      </c>
      <c r="H367" s="4">
        <v>0</v>
      </c>
    </row>
    <row r="368" spans="1:8" x14ac:dyDescent="0.15">
      <c r="A368" s="2" t="s">
        <v>75</v>
      </c>
      <c r="B368" s="4">
        <v>109</v>
      </c>
      <c r="C368" s="5">
        <v>4.1100000000000003</v>
      </c>
      <c r="D368" s="4">
        <v>76</v>
      </c>
      <c r="E368" s="5">
        <v>6.07</v>
      </c>
      <c r="F368" s="4">
        <v>33</v>
      </c>
      <c r="G368" s="5">
        <v>2.36</v>
      </c>
      <c r="H368" s="4">
        <v>0</v>
      </c>
    </row>
    <row r="369" spans="1:8" x14ac:dyDescent="0.15">
      <c r="A369" s="2" t="s">
        <v>76</v>
      </c>
      <c r="B369" s="4">
        <v>62</v>
      </c>
      <c r="C369" s="5">
        <v>2.34</v>
      </c>
      <c r="D369" s="4">
        <v>12</v>
      </c>
      <c r="E369" s="5">
        <v>0.96</v>
      </c>
      <c r="F369" s="4">
        <v>50</v>
      </c>
      <c r="G369" s="5">
        <v>3.58</v>
      </c>
      <c r="H369" s="4">
        <v>0</v>
      </c>
    </row>
    <row r="370" spans="1:8" x14ac:dyDescent="0.15">
      <c r="A370" s="1" t="s">
        <v>23</v>
      </c>
      <c r="B370" s="4">
        <v>3905</v>
      </c>
      <c r="C370" s="5">
        <v>99.99</v>
      </c>
      <c r="D370" s="4">
        <v>1781</v>
      </c>
      <c r="E370" s="5">
        <v>100.00999999999999</v>
      </c>
      <c r="F370" s="4">
        <v>2123</v>
      </c>
      <c r="G370" s="5">
        <v>99.98</v>
      </c>
      <c r="H370" s="4">
        <v>1</v>
      </c>
    </row>
    <row r="371" spans="1:8" x14ac:dyDescent="0.15">
      <c r="A371" s="2" t="s">
        <v>62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63</v>
      </c>
      <c r="B372" s="4">
        <v>360</v>
      </c>
      <c r="C372" s="5">
        <v>9.2200000000000006</v>
      </c>
      <c r="D372" s="4">
        <v>52</v>
      </c>
      <c r="E372" s="5">
        <v>2.92</v>
      </c>
      <c r="F372" s="4">
        <v>308</v>
      </c>
      <c r="G372" s="5">
        <v>14.51</v>
      </c>
      <c r="H372" s="4">
        <v>0</v>
      </c>
    </row>
    <row r="373" spans="1:8" x14ac:dyDescent="0.15">
      <c r="A373" s="2" t="s">
        <v>64</v>
      </c>
      <c r="B373" s="4">
        <v>402</v>
      </c>
      <c r="C373" s="5">
        <v>10.29</v>
      </c>
      <c r="D373" s="4">
        <v>86</v>
      </c>
      <c r="E373" s="5">
        <v>4.83</v>
      </c>
      <c r="F373" s="4">
        <v>316</v>
      </c>
      <c r="G373" s="5">
        <v>14.88</v>
      </c>
      <c r="H373" s="4">
        <v>0</v>
      </c>
    </row>
    <row r="374" spans="1:8" x14ac:dyDescent="0.15">
      <c r="A374" s="2" t="s">
        <v>65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66</v>
      </c>
      <c r="B375" s="4">
        <v>50</v>
      </c>
      <c r="C375" s="5">
        <v>1.28</v>
      </c>
      <c r="D375" s="4">
        <v>3</v>
      </c>
      <c r="E375" s="5">
        <v>0.17</v>
      </c>
      <c r="F375" s="4">
        <v>47</v>
      </c>
      <c r="G375" s="5">
        <v>2.21</v>
      </c>
      <c r="H375" s="4">
        <v>0</v>
      </c>
    </row>
    <row r="376" spans="1:8" x14ac:dyDescent="0.15">
      <c r="A376" s="2" t="s">
        <v>67</v>
      </c>
      <c r="B376" s="4">
        <v>31</v>
      </c>
      <c r="C376" s="5">
        <v>0.79</v>
      </c>
      <c r="D376" s="4">
        <v>22</v>
      </c>
      <c r="E376" s="5">
        <v>1.24</v>
      </c>
      <c r="F376" s="4">
        <v>9</v>
      </c>
      <c r="G376" s="5">
        <v>0.42</v>
      </c>
      <c r="H376" s="4">
        <v>0</v>
      </c>
    </row>
    <row r="377" spans="1:8" x14ac:dyDescent="0.15">
      <c r="A377" s="2" t="s">
        <v>68</v>
      </c>
      <c r="B377" s="4">
        <v>804</v>
      </c>
      <c r="C377" s="5">
        <v>20.59</v>
      </c>
      <c r="D377" s="4">
        <v>309</v>
      </c>
      <c r="E377" s="5">
        <v>17.350000000000001</v>
      </c>
      <c r="F377" s="4">
        <v>495</v>
      </c>
      <c r="G377" s="5">
        <v>23.32</v>
      </c>
      <c r="H377" s="4">
        <v>0</v>
      </c>
    </row>
    <row r="378" spans="1:8" x14ac:dyDescent="0.15">
      <c r="A378" s="2" t="s">
        <v>69</v>
      </c>
      <c r="B378" s="4">
        <v>24</v>
      </c>
      <c r="C378" s="5">
        <v>0.61</v>
      </c>
      <c r="D378" s="4">
        <v>1</v>
      </c>
      <c r="E378" s="5">
        <v>0.06</v>
      </c>
      <c r="F378" s="4">
        <v>23</v>
      </c>
      <c r="G378" s="5">
        <v>1.08</v>
      </c>
      <c r="H378" s="4">
        <v>0</v>
      </c>
    </row>
    <row r="379" spans="1:8" x14ac:dyDescent="0.15">
      <c r="A379" s="2" t="s">
        <v>70</v>
      </c>
      <c r="B379" s="4">
        <v>502</v>
      </c>
      <c r="C379" s="5">
        <v>12.86</v>
      </c>
      <c r="D379" s="4">
        <v>171</v>
      </c>
      <c r="E379" s="5">
        <v>9.6</v>
      </c>
      <c r="F379" s="4">
        <v>331</v>
      </c>
      <c r="G379" s="5">
        <v>15.59</v>
      </c>
      <c r="H379" s="4">
        <v>0</v>
      </c>
    </row>
    <row r="380" spans="1:8" x14ac:dyDescent="0.15">
      <c r="A380" s="2" t="s">
        <v>71</v>
      </c>
      <c r="B380" s="4">
        <v>172</v>
      </c>
      <c r="C380" s="5">
        <v>4.4000000000000004</v>
      </c>
      <c r="D380" s="4">
        <v>83</v>
      </c>
      <c r="E380" s="5">
        <v>4.66</v>
      </c>
      <c r="F380" s="4">
        <v>89</v>
      </c>
      <c r="G380" s="5">
        <v>4.1900000000000004</v>
      </c>
      <c r="H380" s="4">
        <v>0</v>
      </c>
    </row>
    <row r="381" spans="1:8" x14ac:dyDescent="0.15">
      <c r="A381" s="2" t="s">
        <v>72</v>
      </c>
      <c r="B381" s="4">
        <v>645</v>
      </c>
      <c r="C381" s="5">
        <v>16.52</v>
      </c>
      <c r="D381" s="4">
        <v>460</v>
      </c>
      <c r="E381" s="5">
        <v>25.83</v>
      </c>
      <c r="F381" s="4">
        <v>185</v>
      </c>
      <c r="G381" s="5">
        <v>8.7100000000000009</v>
      </c>
      <c r="H381" s="4">
        <v>0</v>
      </c>
    </row>
    <row r="382" spans="1:8" x14ac:dyDescent="0.15">
      <c r="A382" s="2" t="s">
        <v>73</v>
      </c>
      <c r="B382" s="4">
        <v>448</v>
      </c>
      <c r="C382" s="5">
        <v>11.47</v>
      </c>
      <c r="D382" s="4">
        <v>307</v>
      </c>
      <c r="E382" s="5">
        <v>17.239999999999998</v>
      </c>
      <c r="F382" s="4">
        <v>141</v>
      </c>
      <c r="G382" s="5">
        <v>6.64</v>
      </c>
      <c r="H382" s="4">
        <v>0</v>
      </c>
    </row>
    <row r="383" spans="1:8" x14ac:dyDescent="0.15">
      <c r="A383" s="2" t="s">
        <v>74</v>
      </c>
      <c r="B383" s="4">
        <v>132</v>
      </c>
      <c r="C383" s="5">
        <v>3.38</v>
      </c>
      <c r="D383" s="4">
        <v>90</v>
      </c>
      <c r="E383" s="5">
        <v>5.05</v>
      </c>
      <c r="F383" s="4">
        <v>42</v>
      </c>
      <c r="G383" s="5">
        <v>1.98</v>
      </c>
      <c r="H383" s="4">
        <v>0</v>
      </c>
    </row>
    <row r="384" spans="1:8" x14ac:dyDescent="0.15">
      <c r="A384" s="2" t="s">
        <v>75</v>
      </c>
      <c r="B384" s="4">
        <v>252</v>
      </c>
      <c r="C384" s="5">
        <v>6.45</v>
      </c>
      <c r="D384" s="4">
        <v>181</v>
      </c>
      <c r="E384" s="5">
        <v>10.16</v>
      </c>
      <c r="F384" s="4">
        <v>71</v>
      </c>
      <c r="G384" s="5">
        <v>3.34</v>
      </c>
      <c r="H384" s="4">
        <v>0</v>
      </c>
    </row>
    <row r="385" spans="1:8" x14ac:dyDescent="0.15">
      <c r="A385" s="2" t="s">
        <v>76</v>
      </c>
      <c r="B385" s="4">
        <v>83</v>
      </c>
      <c r="C385" s="5">
        <v>2.13</v>
      </c>
      <c r="D385" s="4">
        <v>16</v>
      </c>
      <c r="E385" s="5">
        <v>0.9</v>
      </c>
      <c r="F385" s="4">
        <v>66</v>
      </c>
      <c r="G385" s="5">
        <v>3.11</v>
      </c>
      <c r="H385" s="4">
        <v>1</v>
      </c>
    </row>
    <row r="386" spans="1:8" x14ac:dyDescent="0.15">
      <c r="A386" s="1" t="s">
        <v>24</v>
      </c>
      <c r="B386" s="4">
        <v>3307</v>
      </c>
      <c r="C386" s="5">
        <v>100.00000000000001</v>
      </c>
      <c r="D386" s="4">
        <v>1258</v>
      </c>
      <c r="E386" s="5">
        <v>100.01</v>
      </c>
      <c r="F386" s="4">
        <v>2047</v>
      </c>
      <c r="G386" s="5">
        <v>100.00999999999999</v>
      </c>
      <c r="H386" s="4">
        <v>2</v>
      </c>
    </row>
    <row r="387" spans="1:8" x14ac:dyDescent="0.15">
      <c r="A387" s="2" t="s">
        <v>62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63</v>
      </c>
      <c r="B388" s="4">
        <v>440</v>
      </c>
      <c r="C388" s="5">
        <v>13.31</v>
      </c>
      <c r="D388" s="4">
        <v>79</v>
      </c>
      <c r="E388" s="5">
        <v>6.28</v>
      </c>
      <c r="F388" s="4">
        <v>361</v>
      </c>
      <c r="G388" s="5">
        <v>17.64</v>
      </c>
      <c r="H388" s="4">
        <v>0</v>
      </c>
    </row>
    <row r="389" spans="1:8" x14ac:dyDescent="0.15">
      <c r="A389" s="2" t="s">
        <v>64</v>
      </c>
      <c r="B389" s="4">
        <v>489</v>
      </c>
      <c r="C389" s="5">
        <v>14.79</v>
      </c>
      <c r="D389" s="4">
        <v>98</v>
      </c>
      <c r="E389" s="5">
        <v>7.79</v>
      </c>
      <c r="F389" s="4">
        <v>391</v>
      </c>
      <c r="G389" s="5">
        <v>19.100000000000001</v>
      </c>
      <c r="H389" s="4">
        <v>0</v>
      </c>
    </row>
    <row r="390" spans="1:8" x14ac:dyDescent="0.15">
      <c r="A390" s="2" t="s">
        <v>65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66</v>
      </c>
      <c r="B391" s="4">
        <v>59</v>
      </c>
      <c r="C391" s="5">
        <v>1.78</v>
      </c>
      <c r="D391" s="4">
        <v>1</v>
      </c>
      <c r="E391" s="5">
        <v>0.08</v>
      </c>
      <c r="F391" s="4">
        <v>58</v>
      </c>
      <c r="G391" s="5">
        <v>2.83</v>
      </c>
      <c r="H391" s="4">
        <v>0</v>
      </c>
    </row>
    <row r="392" spans="1:8" x14ac:dyDescent="0.15">
      <c r="A392" s="2" t="s">
        <v>67</v>
      </c>
      <c r="B392" s="4">
        <v>40</v>
      </c>
      <c r="C392" s="5">
        <v>1.21</v>
      </c>
      <c r="D392" s="4">
        <v>19</v>
      </c>
      <c r="E392" s="5">
        <v>1.51</v>
      </c>
      <c r="F392" s="4">
        <v>21</v>
      </c>
      <c r="G392" s="5">
        <v>1.03</v>
      </c>
      <c r="H392" s="4">
        <v>0</v>
      </c>
    </row>
    <row r="393" spans="1:8" x14ac:dyDescent="0.15">
      <c r="A393" s="2" t="s">
        <v>68</v>
      </c>
      <c r="B393" s="4">
        <v>543</v>
      </c>
      <c r="C393" s="5">
        <v>16.420000000000002</v>
      </c>
      <c r="D393" s="4">
        <v>162</v>
      </c>
      <c r="E393" s="5">
        <v>12.88</v>
      </c>
      <c r="F393" s="4">
        <v>381</v>
      </c>
      <c r="G393" s="5">
        <v>18.61</v>
      </c>
      <c r="H393" s="4">
        <v>0</v>
      </c>
    </row>
    <row r="394" spans="1:8" x14ac:dyDescent="0.15">
      <c r="A394" s="2" t="s">
        <v>69</v>
      </c>
      <c r="B394" s="4">
        <v>15</v>
      </c>
      <c r="C394" s="5">
        <v>0.45</v>
      </c>
      <c r="D394" s="4">
        <v>2</v>
      </c>
      <c r="E394" s="5">
        <v>0.16</v>
      </c>
      <c r="F394" s="4">
        <v>13</v>
      </c>
      <c r="G394" s="5">
        <v>0.64</v>
      </c>
      <c r="H394" s="4">
        <v>0</v>
      </c>
    </row>
    <row r="395" spans="1:8" x14ac:dyDescent="0.15">
      <c r="A395" s="2" t="s">
        <v>70</v>
      </c>
      <c r="B395" s="4">
        <v>559</v>
      </c>
      <c r="C395" s="5">
        <v>16.899999999999999</v>
      </c>
      <c r="D395" s="4">
        <v>216</v>
      </c>
      <c r="E395" s="5">
        <v>17.170000000000002</v>
      </c>
      <c r="F395" s="4">
        <v>343</v>
      </c>
      <c r="G395" s="5">
        <v>16.760000000000002</v>
      </c>
      <c r="H395" s="4">
        <v>0</v>
      </c>
    </row>
    <row r="396" spans="1:8" x14ac:dyDescent="0.15">
      <c r="A396" s="2" t="s">
        <v>71</v>
      </c>
      <c r="B396" s="4">
        <v>123</v>
      </c>
      <c r="C396" s="5">
        <v>3.72</v>
      </c>
      <c r="D396" s="4">
        <v>45</v>
      </c>
      <c r="E396" s="5">
        <v>3.58</v>
      </c>
      <c r="F396" s="4">
        <v>78</v>
      </c>
      <c r="G396" s="5">
        <v>3.81</v>
      </c>
      <c r="H396" s="4">
        <v>0</v>
      </c>
    </row>
    <row r="397" spans="1:8" x14ac:dyDescent="0.15">
      <c r="A397" s="2" t="s">
        <v>72</v>
      </c>
      <c r="B397" s="4">
        <v>360</v>
      </c>
      <c r="C397" s="5">
        <v>10.89</v>
      </c>
      <c r="D397" s="4">
        <v>263</v>
      </c>
      <c r="E397" s="5">
        <v>20.91</v>
      </c>
      <c r="F397" s="4">
        <v>97</v>
      </c>
      <c r="G397" s="5">
        <v>4.74</v>
      </c>
      <c r="H397" s="4">
        <v>0</v>
      </c>
    </row>
    <row r="398" spans="1:8" x14ac:dyDescent="0.15">
      <c r="A398" s="2" t="s">
        <v>73</v>
      </c>
      <c r="B398" s="4">
        <v>328</v>
      </c>
      <c r="C398" s="5">
        <v>9.92</v>
      </c>
      <c r="D398" s="4">
        <v>202</v>
      </c>
      <c r="E398" s="5">
        <v>16.059999999999999</v>
      </c>
      <c r="F398" s="4">
        <v>126</v>
      </c>
      <c r="G398" s="5">
        <v>6.16</v>
      </c>
      <c r="H398" s="4">
        <v>0</v>
      </c>
    </row>
    <row r="399" spans="1:8" x14ac:dyDescent="0.15">
      <c r="A399" s="2" t="s">
        <v>74</v>
      </c>
      <c r="B399" s="4">
        <v>88</v>
      </c>
      <c r="C399" s="5">
        <v>2.66</v>
      </c>
      <c r="D399" s="4">
        <v>54</v>
      </c>
      <c r="E399" s="5">
        <v>4.29</v>
      </c>
      <c r="F399" s="4">
        <v>33</v>
      </c>
      <c r="G399" s="5">
        <v>1.61</v>
      </c>
      <c r="H399" s="4">
        <v>1</v>
      </c>
    </row>
    <row r="400" spans="1:8" x14ac:dyDescent="0.15">
      <c r="A400" s="2" t="s">
        <v>75</v>
      </c>
      <c r="B400" s="4">
        <v>161</v>
      </c>
      <c r="C400" s="5">
        <v>4.87</v>
      </c>
      <c r="D400" s="4">
        <v>93</v>
      </c>
      <c r="E400" s="5">
        <v>7.39</v>
      </c>
      <c r="F400" s="4">
        <v>67</v>
      </c>
      <c r="G400" s="5">
        <v>3.27</v>
      </c>
      <c r="H400" s="4">
        <v>1</v>
      </c>
    </row>
    <row r="401" spans="1:8" x14ac:dyDescent="0.15">
      <c r="A401" s="2" t="s">
        <v>76</v>
      </c>
      <c r="B401" s="4">
        <v>102</v>
      </c>
      <c r="C401" s="5">
        <v>3.08</v>
      </c>
      <c r="D401" s="4">
        <v>24</v>
      </c>
      <c r="E401" s="5">
        <v>1.91</v>
      </c>
      <c r="F401" s="4">
        <v>78</v>
      </c>
      <c r="G401" s="5">
        <v>3.81</v>
      </c>
      <c r="H401" s="4">
        <v>0</v>
      </c>
    </row>
    <row r="402" spans="1:8" x14ac:dyDescent="0.15">
      <c r="A402" s="1" t="s">
        <v>25</v>
      </c>
      <c r="B402" s="4">
        <v>2855</v>
      </c>
      <c r="C402" s="5">
        <v>99.97999999999999</v>
      </c>
      <c r="D402" s="4">
        <v>1305</v>
      </c>
      <c r="E402" s="5">
        <v>100.01</v>
      </c>
      <c r="F402" s="4">
        <v>1547</v>
      </c>
      <c r="G402" s="5">
        <v>99.97999999999999</v>
      </c>
      <c r="H402" s="4">
        <v>3</v>
      </c>
    </row>
    <row r="403" spans="1:8" x14ac:dyDescent="0.15">
      <c r="A403" s="2" t="s">
        <v>62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63</v>
      </c>
      <c r="B404" s="4">
        <v>404</v>
      </c>
      <c r="C404" s="5">
        <v>14.15</v>
      </c>
      <c r="D404" s="4">
        <v>82</v>
      </c>
      <c r="E404" s="5">
        <v>6.28</v>
      </c>
      <c r="F404" s="4">
        <v>322</v>
      </c>
      <c r="G404" s="5">
        <v>20.81</v>
      </c>
      <c r="H404" s="4">
        <v>0</v>
      </c>
    </row>
    <row r="405" spans="1:8" x14ac:dyDescent="0.15">
      <c r="A405" s="2" t="s">
        <v>64</v>
      </c>
      <c r="B405" s="4">
        <v>148</v>
      </c>
      <c r="C405" s="5">
        <v>5.18</v>
      </c>
      <c r="D405" s="4">
        <v>38</v>
      </c>
      <c r="E405" s="5">
        <v>2.91</v>
      </c>
      <c r="F405" s="4">
        <v>110</v>
      </c>
      <c r="G405" s="5">
        <v>7.11</v>
      </c>
      <c r="H405" s="4">
        <v>0</v>
      </c>
    </row>
    <row r="406" spans="1:8" x14ac:dyDescent="0.15">
      <c r="A406" s="2" t="s">
        <v>65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66</v>
      </c>
      <c r="B407" s="4">
        <v>47</v>
      </c>
      <c r="C407" s="5">
        <v>1.65</v>
      </c>
      <c r="D407" s="4">
        <v>0</v>
      </c>
      <c r="E407" s="5">
        <v>0</v>
      </c>
      <c r="F407" s="4">
        <v>47</v>
      </c>
      <c r="G407" s="5">
        <v>3.04</v>
      </c>
      <c r="H407" s="4">
        <v>0</v>
      </c>
    </row>
    <row r="408" spans="1:8" x14ac:dyDescent="0.15">
      <c r="A408" s="2" t="s">
        <v>67</v>
      </c>
      <c r="B408" s="4">
        <v>28</v>
      </c>
      <c r="C408" s="5">
        <v>0.98</v>
      </c>
      <c r="D408" s="4">
        <v>18</v>
      </c>
      <c r="E408" s="5">
        <v>1.38</v>
      </c>
      <c r="F408" s="4">
        <v>10</v>
      </c>
      <c r="G408" s="5">
        <v>0.65</v>
      </c>
      <c r="H408" s="4">
        <v>0</v>
      </c>
    </row>
    <row r="409" spans="1:8" x14ac:dyDescent="0.15">
      <c r="A409" s="2" t="s">
        <v>68</v>
      </c>
      <c r="B409" s="4">
        <v>538</v>
      </c>
      <c r="C409" s="5">
        <v>18.84</v>
      </c>
      <c r="D409" s="4">
        <v>231</v>
      </c>
      <c r="E409" s="5">
        <v>17.7</v>
      </c>
      <c r="F409" s="4">
        <v>307</v>
      </c>
      <c r="G409" s="5">
        <v>19.84</v>
      </c>
      <c r="H409" s="4">
        <v>0</v>
      </c>
    </row>
    <row r="410" spans="1:8" x14ac:dyDescent="0.15">
      <c r="A410" s="2" t="s">
        <v>69</v>
      </c>
      <c r="B410" s="4">
        <v>8</v>
      </c>
      <c r="C410" s="5">
        <v>0.28000000000000003</v>
      </c>
      <c r="D410" s="4">
        <v>1</v>
      </c>
      <c r="E410" s="5">
        <v>0.08</v>
      </c>
      <c r="F410" s="4">
        <v>7</v>
      </c>
      <c r="G410" s="5">
        <v>0.45</v>
      </c>
      <c r="H410" s="4">
        <v>0</v>
      </c>
    </row>
    <row r="411" spans="1:8" x14ac:dyDescent="0.15">
      <c r="A411" s="2" t="s">
        <v>70</v>
      </c>
      <c r="B411" s="4">
        <v>448</v>
      </c>
      <c r="C411" s="5">
        <v>15.69</v>
      </c>
      <c r="D411" s="4">
        <v>154</v>
      </c>
      <c r="E411" s="5">
        <v>11.8</v>
      </c>
      <c r="F411" s="4">
        <v>294</v>
      </c>
      <c r="G411" s="5">
        <v>19</v>
      </c>
      <c r="H411" s="4">
        <v>0</v>
      </c>
    </row>
    <row r="412" spans="1:8" x14ac:dyDescent="0.15">
      <c r="A412" s="2" t="s">
        <v>71</v>
      </c>
      <c r="B412" s="4">
        <v>183</v>
      </c>
      <c r="C412" s="5">
        <v>6.41</v>
      </c>
      <c r="D412" s="4">
        <v>68</v>
      </c>
      <c r="E412" s="5">
        <v>5.21</v>
      </c>
      <c r="F412" s="4">
        <v>115</v>
      </c>
      <c r="G412" s="5">
        <v>7.43</v>
      </c>
      <c r="H412" s="4">
        <v>0</v>
      </c>
    </row>
    <row r="413" spans="1:8" x14ac:dyDescent="0.15">
      <c r="A413" s="2" t="s">
        <v>72</v>
      </c>
      <c r="B413" s="4">
        <v>338</v>
      </c>
      <c r="C413" s="5">
        <v>11.84</v>
      </c>
      <c r="D413" s="4">
        <v>268</v>
      </c>
      <c r="E413" s="5">
        <v>20.54</v>
      </c>
      <c r="F413" s="4">
        <v>69</v>
      </c>
      <c r="G413" s="5">
        <v>4.46</v>
      </c>
      <c r="H413" s="4">
        <v>1</v>
      </c>
    </row>
    <row r="414" spans="1:8" x14ac:dyDescent="0.15">
      <c r="A414" s="2" t="s">
        <v>73</v>
      </c>
      <c r="B414" s="4">
        <v>359</v>
      </c>
      <c r="C414" s="5">
        <v>12.57</v>
      </c>
      <c r="D414" s="4">
        <v>244</v>
      </c>
      <c r="E414" s="5">
        <v>18.7</v>
      </c>
      <c r="F414" s="4">
        <v>115</v>
      </c>
      <c r="G414" s="5">
        <v>7.43</v>
      </c>
      <c r="H414" s="4">
        <v>0</v>
      </c>
    </row>
    <row r="415" spans="1:8" x14ac:dyDescent="0.15">
      <c r="A415" s="2" t="s">
        <v>74</v>
      </c>
      <c r="B415" s="4">
        <v>106</v>
      </c>
      <c r="C415" s="5">
        <v>3.71</v>
      </c>
      <c r="D415" s="4">
        <v>72</v>
      </c>
      <c r="E415" s="5">
        <v>5.52</v>
      </c>
      <c r="F415" s="4">
        <v>33</v>
      </c>
      <c r="G415" s="5">
        <v>2.13</v>
      </c>
      <c r="H415" s="4">
        <v>1</v>
      </c>
    </row>
    <row r="416" spans="1:8" x14ac:dyDescent="0.15">
      <c r="A416" s="2" t="s">
        <v>75</v>
      </c>
      <c r="B416" s="4">
        <v>184</v>
      </c>
      <c r="C416" s="5">
        <v>6.44</v>
      </c>
      <c r="D416" s="4">
        <v>111</v>
      </c>
      <c r="E416" s="5">
        <v>8.51</v>
      </c>
      <c r="F416" s="4">
        <v>73</v>
      </c>
      <c r="G416" s="5">
        <v>4.72</v>
      </c>
      <c r="H416" s="4">
        <v>0</v>
      </c>
    </row>
    <row r="417" spans="1:8" x14ac:dyDescent="0.15">
      <c r="A417" s="2" t="s">
        <v>76</v>
      </c>
      <c r="B417" s="4">
        <v>64</v>
      </c>
      <c r="C417" s="5">
        <v>2.2400000000000002</v>
      </c>
      <c r="D417" s="4">
        <v>18</v>
      </c>
      <c r="E417" s="5">
        <v>1.38</v>
      </c>
      <c r="F417" s="4">
        <v>45</v>
      </c>
      <c r="G417" s="5">
        <v>2.91</v>
      </c>
      <c r="H417" s="4">
        <v>1</v>
      </c>
    </row>
    <row r="418" spans="1:8" x14ac:dyDescent="0.15">
      <c r="A418" s="1" t="s">
        <v>26</v>
      </c>
      <c r="B418" s="4">
        <v>2316</v>
      </c>
      <c r="C418" s="5">
        <v>100</v>
      </c>
      <c r="D418" s="4">
        <v>816</v>
      </c>
      <c r="E418" s="5">
        <v>99.990000000000009</v>
      </c>
      <c r="F418" s="4">
        <v>1500</v>
      </c>
      <c r="G418" s="5">
        <v>100.00000000000001</v>
      </c>
      <c r="H418" s="4">
        <v>0</v>
      </c>
    </row>
    <row r="419" spans="1:8" x14ac:dyDescent="0.15">
      <c r="A419" s="2" t="s">
        <v>62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63</v>
      </c>
      <c r="B420" s="4">
        <v>417</v>
      </c>
      <c r="C420" s="5">
        <v>18.010000000000002</v>
      </c>
      <c r="D420" s="4">
        <v>61</v>
      </c>
      <c r="E420" s="5">
        <v>7.48</v>
      </c>
      <c r="F420" s="4">
        <v>356</v>
      </c>
      <c r="G420" s="5">
        <v>23.73</v>
      </c>
      <c r="H420" s="4">
        <v>0</v>
      </c>
    </row>
    <row r="421" spans="1:8" x14ac:dyDescent="0.15">
      <c r="A421" s="2" t="s">
        <v>64</v>
      </c>
      <c r="B421" s="4">
        <v>205</v>
      </c>
      <c r="C421" s="5">
        <v>8.85</v>
      </c>
      <c r="D421" s="4">
        <v>52</v>
      </c>
      <c r="E421" s="5">
        <v>6.37</v>
      </c>
      <c r="F421" s="4">
        <v>153</v>
      </c>
      <c r="G421" s="5">
        <v>10.199999999999999</v>
      </c>
      <c r="H421" s="4">
        <v>0</v>
      </c>
    </row>
    <row r="422" spans="1:8" x14ac:dyDescent="0.15">
      <c r="A422" s="2" t="s">
        <v>65</v>
      </c>
      <c r="B422" s="4">
        <v>1</v>
      </c>
      <c r="C422" s="5">
        <v>0.04</v>
      </c>
      <c r="D422" s="4">
        <v>0</v>
      </c>
      <c r="E422" s="5">
        <v>0</v>
      </c>
      <c r="F422" s="4">
        <v>1</v>
      </c>
      <c r="G422" s="5">
        <v>7.0000000000000007E-2</v>
      </c>
      <c r="H422" s="4">
        <v>0</v>
      </c>
    </row>
    <row r="423" spans="1:8" x14ac:dyDescent="0.15">
      <c r="A423" s="2" t="s">
        <v>66</v>
      </c>
      <c r="B423" s="4">
        <v>49</v>
      </c>
      <c r="C423" s="5">
        <v>2.12</v>
      </c>
      <c r="D423" s="4">
        <v>0</v>
      </c>
      <c r="E423" s="5">
        <v>0</v>
      </c>
      <c r="F423" s="4">
        <v>49</v>
      </c>
      <c r="G423" s="5">
        <v>3.27</v>
      </c>
      <c r="H423" s="4">
        <v>0</v>
      </c>
    </row>
    <row r="424" spans="1:8" x14ac:dyDescent="0.15">
      <c r="A424" s="2" t="s">
        <v>67</v>
      </c>
      <c r="B424" s="4">
        <v>44</v>
      </c>
      <c r="C424" s="5">
        <v>1.9</v>
      </c>
      <c r="D424" s="4">
        <v>26</v>
      </c>
      <c r="E424" s="5">
        <v>3.19</v>
      </c>
      <c r="F424" s="4">
        <v>18</v>
      </c>
      <c r="G424" s="5">
        <v>1.2</v>
      </c>
      <c r="H424" s="4">
        <v>0</v>
      </c>
    </row>
    <row r="425" spans="1:8" x14ac:dyDescent="0.15">
      <c r="A425" s="2" t="s">
        <v>68</v>
      </c>
      <c r="B425" s="4">
        <v>389</v>
      </c>
      <c r="C425" s="5">
        <v>16.8</v>
      </c>
      <c r="D425" s="4">
        <v>95</v>
      </c>
      <c r="E425" s="5">
        <v>11.64</v>
      </c>
      <c r="F425" s="4">
        <v>294</v>
      </c>
      <c r="G425" s="5">
        <v>19.600000000000001</v>
      </c>
      <c r="H425" s="4">
        <v>0</v>
      </c>
    </row>
    <row r="426" spans="1:8" x14ac:dyDescent="0.15">
      <c r="A426" s="2" t="s">
        <v>69</v>
      </c>
      <c r="B426" s="4">
        <v>7</v>
      </c>
      <c r="C426" s="5">
        <v>0.3</v>
      </c>
      <c r="D426" s="4">
        <v>0</v>
      </c>
      <c r="E426" s="5">
        <v>0</v>
      </c>
      <c r="F426" s="4">
        <v>7</v>
      </c>
      <c r="G426" s="5">
        <v>0.47</v>
      </c>
      <c r="H426" s="4">
        <v>0</v>
      </c>
    </row>
    <row r="427" spans="1:8" x14ac:dyDescent="0.15">
      <c r="A427" s="2" t="s">
        <v>70</v>
      </c>
      <c r="B427" s="4">
        <v>331</v>
      </c>
      <c r="C427" s="5">
        <v>14.29</v>
      </c>
      <c r="D427" s="4">
        <v>96</v>
      </c>
      <c r="E427" s="5">
        <v>11.76</v>
      </c>
      <c r="F427" s="4">
        <v>235</v>
      </c>
      <c r="G427" s="5">
        <v>15.67</v>
      </c>
      <c r="H427" s="4">
        <v>0</v>
      </c>
    </row>
    <row r="428" spans="1:8" x14ac:dyDescent="0.15">
      <c r="A428" s="2" t="s">
        <v>71</v>
      </c>
      <c r="B428" s="4">
        <v>124</v>
      </c>
      <c r="C428" s="5">
        <v>5.35</v>
      </c>
      <c r="D428" s="4">
        <v>41</v>
      </c>
      <c r="E428" s="5">
        <v>5.0199999999999996</v>
      </c>
      <c r="F428" s="4">
        <v>83</v>
      </c>
      <c r="G428" s="5">
        <v>5.53</v>
      </c>
      <c r="H428" s="4">
        <v>0</v>
      </c>
    </row>
    <row r="429" spans="1:8" x14ac:dyDescent="0.15">
      <c r="A429" s="2" t="s">
        <v>72</v>
      </c>
      <c r="B429" s="4">
        <v>207</v>
      </c>
      <c r="C429" s="5">
        <v>8.94</v>
      </c>
      <c r="D429" s="4">
        <v>142</v>
      </c>
      <c r="E429" s="5">
        <v>17.399999999999999</v>
      </c>
      <c r="F429" s="4">
        <v>65</v>
      </c>
      <c r="G429" s="5">
        <v>4.33</v>
      </c>
      <c r="H429" s="4">
        <v>0</v>
      </c>
    </row>
    <row r="430" spans="1:8" x14ac:dyDescent="0.15">
      <c r="A430" s="2" t="s">
        <v>73</v>
      </c>
      <c r="B430" s="4">
        <v>246</v>
      </c>
      <c r="C430" s="5">
        <v>10.62</v>
      </c>
      <c r="D430" s="4">
        <v>159</v>
      </c>
      <c r="E430" s="5">
        <v>19.489999999999998</v>
      </c>
      <c r="F430" s="4">
        <v>87</v>
      </c>
      <c r="G430" s="5">
        <v>5.8</v>
      </c>
      <c r="H430" s="4">
        <v>0</v>
      </c>
    </row>
    <row r="431" spans="1:8" x14ac:dyDescent="0.15">
      <c r="A431" s="2" t="s">
        <v>74</v>
      </c>
      <c r="B431" s="4">
        <v>104</v>
      </c>
      <c r="C431" s="5">
        <v>4.49</v>
      </c>
      <c r="D431" s="4">
        <v>60</v>
      </c>
      <c r="E431" s="5">
        <v>7.35</v>
      </c>
      <c r="F431" s="4">
        <v>44</v>
      </c>
      <c r="G431" s="5">
        <v>2.93</v>
      </c>
      <c r="H431" s="4">
        <v>0</v>
      </c>
    </row>
    <row r="432" spans="1:8" x14ac:dyDescent="0.15">
      <c r="A432" s="2" t="s">
        <v>75</v>
      </c>
      <c r="B432" s="4">
        <v>112</v>
      </c>
      <c r="C432" s="5">
        <v>4.84</v>
      </c>
      <c r="D432" s="4">
        <v>64</v>
      </c>
      <c r="E432" s="5">
        <v>7.84</v>
      </c>
      <c r="F432" s="4">
        <v>48</v>
      </c>
      <c r="G432" s="5">
        <v>3.2</v>
      </c>
      <c r="H432" s="4">
        <v>0</v>
      </c>
    </row>
    <row r="433" spans="1:8" x14ac:dyDescent="0.15">
      <c r="A433" s="2" t="s">
        <v>76</v>
      </c>
      <c r="B433" s="4">
        <v>80</v>
      </c>
      <c r="C433" s="5">
        <v>3.45</v>
      </c>
      <c r="D433" s="4">
        <v>20</v>
      </c>
      <c r="E433" s="5">
        <v>2.4500000000000002</v>
      </c>
      <c r="F433" s="4">
        <v>60</v>
      </c>
      <c r="G433" s="5">
        <v>4</v>
      </c>
      <c r="H433" s="4">
        <v>0</v>
      </c>
    </row>
    <row r="434" spans="1:8" x14ac:dyDescent="0.15">
      <c r="A434" s="1" t="s">
        <v>27</v>
      </c>
      <c r="B434" s="4">
        <v>1865</v>
      </c>
      <c r="C434" s="5">
        <v>99.99</v>
      </c>
      <c r="D434" s="4">
        <v>675</v>
      </c>
      <c r="E434" s="5">
        <v>100</v>
      </c>
      <c r="F434" s="4">
        <v>1186</v>
      </c>
      <c r="G434" s="5">
        <v>99.99</v>
      </c>
      <c r="H434" s="4">
        <v>4</v>
      </c>
    </row>
    <row r="435" spans="1:8" x14ac:dyDescent="0.15">
      <c r="A435" s="2" t="s">
        <v>62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63</v>
      </c>
      <c r="B436" s="4">
        <v>232</v>
      </c>
      <c r="C436" s="5">
        <v>12.44</v>
      </c>
      <c r="D436" s="4">
        <v>28</v>
      </c>
      <c r="E436" s="5">
        <v>4.1500000000000004</v>
      </c>
      <c r="F436" s="4">
        <v>204</v>
      </c>
      <c r="G436" s="5">
        <v>17.2</v>
      </c>
      <c r="H436" s="4">
        <v>0</v>
      </c>
    </row>
    <row r="437" spans="1:8" x14ac:dyDescent="0.15">
      <c r="A437" s="2" t="s">
        <v>64</v>
      </c>
      <c r="B437" s="4">
        <v>104</v>
      </c>
      <c r="C437" s="5">
        <v>5.58</v>
      </c>
      <c r="D437" s="4">
        <v>30</v>
      </c>
      <c r="E437" s="5">
        <v>4.4400000000000004</v>
      </c>
      <c r="F437" s="4">
        <v>74</v>
      </c>
      <c r="G437" s="5">
        <v>6.24</v>
      </c>
      <c r="H437" s="4">
        <v>0</v>
      </c>
    </row>
    <row r="438" spans="1:8" x14ac:dyDescent="0.15">
      <c r="A438" s="2" t="s">
        <v>65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66</v>
      </c>
      <c r="B439" s="4">
        <v>51</v>
      </c>
      <c r="C439" s="5">
        <v>2.73</v>
      </c>
      <c r="D439" s="4">
        <v>0</v>
      </c>
      <c r="E439" s="5">
        <v>0</v>
      </c>
      <c r="F439" s="4">
        <v>51</v>
      </c>
      <c r="G439" s="5">
        <v>4.3</v>
      </c>
      <c r="H439" s="4">
        <v>0</v>
      </c>
    </row>
    <row r="440" spans="1:8" x14ac:dyDescent="0.15">
      <c r="A440" s="2" t="s">
        <v>67</v>
      </c>
      <c r="B440" s="4">
        <v>29</v>
      </c>
      <c r="C440" s="5">
        <v>1.55</v>
      </c>
      <c r="D440" s="4">
        <v>21</v>
      </c>
      <c r="E440" s="5">
        <v>3.11</v>
      </c>
      <c r="F440" s="4">
        <v>8</v>
      </c>
      <c r="G440" s="5">
        <v>0.67</v>
      </c>
      <c r="H440" s="4">
        <v>0</v>
      </c>
    </row>
    <row r="441" spans="1:8" x14ac:dyDescent="0.15">
      <c r="A441" s="2" t="s">
        <v>68</v>
      </c>
      <c r="B441" s="4">
        <v>368</v>
      </c>
      <c r="C441" s="5">
        <v>19.73</v>
      </c>
      <c r="D441" s="4">
        <v>102</v>
      </c>
      <c r="E441" s="5">
        <v>15.11</v>
      </c>
      <c r="F441" s="4">
        <v>265</v>
      </c>
      <c r="G441" s="5">
        <v>22.34</v>
      </c>
      <c r="H441" s="4">
        <v>1</v>
      </c>
    </row>
    <row r="442" spans="1:8" x14ac:dyDescent="0.15">
      <c r="A442" s="2" t="s">
        <v>69</v>
      </c>
      <c r="B442" s="4">
        <v>14</v>
      </c>
      <c r="C442" s="5">
        <v>0.75</v>
      </c>
      <c r="D442" s="4">
        <v>0</v>
      </c>
      <c r="E442" s="5">
        <v>0</v>
      </c>
      <c r="F442" s="4">
        <v>14</v>
      </c>
      <c r="G442" s="5">
        <v>1.18</v>
      </c>
      <c r="H442" s="4">
        <v>0</v>
      </c>
    </row>
    <row r="443" spans="1:8" x14ac:dyDescent="0.15">
      <c r="A443" s="2" t="s">
        <v>70</v>
      </c>
      <c r="B443" s="4">
        <v>241</v>
      </c>
      <c r="C443" s="5">
        <v>12.92</v>
      </c>
      <c r="D443" s="4">
        <v>84</v>
      </c>
      <c r="E443" s="5">
        <v>12.44</v>
      </c>
      <c r="F443" s="4">
        <v>157</v>
      </c>
      <c r="G443" s="5">
        <v>13.24</v>
      </c>
      <c r="H443" s="4">
        <v>0</v>
      </c>
    </row>
    <row r="444" spans="1:8" x14ac:dyDescent="0.15">
      <c r="A444" s="2" t="s">
        <v>71</v>
      </c>
      <c r="B444" s="4">
        <v>181</v>
      </c>
      <c r="C444" s="5">
        <v>9.7100000000000009</v>
      </c>
      <c r="D444" s="4">
        <v>45</v>
      </c>
      <c r="E444" s="5">
        <v>6.67</v>
      </c>
      <c r="F444" s="4">
        <v>135</v>
      </c>
      <c r="G444" s="5">
        <v>11.38</v>
      </c>
      <c r="H444" s="4">
        <v>1</v>
      </c>
    </row>
    <row r="445" spans="1:8" x14ac:dyDescent="0.15">
      <c r="A445" s="2" t="s">
        <v>72</v>
      </c>
      <c r="B445" s="4">
        <v>162</v>
      </c>
      <c r="C445" s="5">
        <v>8.69</v>
      </c>
      <c r="D445" s="4">
        <v>103</v>
      </c>
      <c r="E445" s="5">
        <v>15.26</v>
      </c>
      <c r="F445" s="4">
        <v>59</v>
      </c>
      <c r="G445" s="5">
        <v>4.97</v>
      </c>
      <c r="H445" s="4">
        <v>0</v>
      </c>
    </row>
    <row r="446" spans="1:8" x14ac:dyDescent="0.15">
      <c r="A446" s="2" t="s">
        <v>73</v>
      </c>
      <c r="B446" s="4">
        <v>192</v>
      </c>
      <c r="C446" s="5">
        <v>10.29</v>
      </c>
      <c r="D446" s="4">
        <v>105</v>
      </c>
      <c r="E446" s="5">
        <v>15.56</v>
      </c>
      <c r="F446" s="4">
        <v>87</v>
      </c>
      <c r="G446" s="5">
        <v>7.34</v>
      </c>
      <c r="H446" s="4">
        <v>0</v>
      </c>
    </row>
    <row r="447" spans="1:8" x14ac:dyDescent="0.15">
      <c r="A447" s="2" t="s">
        <v>74</v>
      </c>
      <c r="B447" s="4">
        <v>99</v>
      </c>
      <c r="C447" s="5">
        <v>5.31</v>
      </c>
      <c r="D447" s="4">
        <v>61</v>
      </c>
      <c r="E447" s="5">
        <v>9.0399999999999991</v>
      </c>
      <c r="F447" s="4">
        <v>37</v>
      </c>
      <c r="G447" s="5">
        <v>3.12</v>
      </c>
      <c r="H447" s="4">
        <v>1</v>
      </c>
    </row>
    <row r="448" spans="1:8" x14ac:dyDescent="0.15">
      <c r="A448" s="2" t="s">
        <v>75</v>
      </c>
      <c r="B448" s="4">
        <v>128</v>
      </c>
      <c r="C448" s="5">
        <v>6.86</v>
      </c>
      <c r="D448" s="4">
        <v>79</v>
      </c>
      <c r="E448" s="5">
        <v>11.7</v>
      </c>
      <c r="F448" s="4">
        <v>49</v>
      </c>
      <c r="G448" s="5">
        <v>4.13</v>
      </c>
      <c r="H448" s="4">
        <v>0</v>
      </c>
    </row>
    <row r="449" spans="1:8" x14ac:dyDescent="0.15">
      <c r="A449" s="2" t="s">
        <v>76</v>
      </c>
      <c r="B449" s="4">
        <v>64</v>
      </c>
      <c r="C449" s="5">
        <v>3.43</v>
      </c>
      <c r="D449" s="4">
        <v>17</v>
      </c>
      <c r="E449" s="5">
        <v>2.52</v>
      </c>
      <c r="F449" s="4">
        <v>46</v>
      </c>
      <c r="G449" s="5">
        <v>3.88</v>
      </c>
      <c r="H449" s="4">
        <v>1</v>
      </c>
    </row>
    <row r="450" spans="1:8" x14ac:dyDescent="0.15">
      <c r="A450" s="1" t="s">
        <v>28</v>
      </c>
      <c r="B450" s="4">
        <v>13253</v>
      </c>
      <c r="C450" s="5">
        <v>100.00000000000001</v>
      </c>
      <c r="D450" s="4">
        <v>6349</v>
      </c>
      <c r="E450" s="5">
        <v>99.98</v>
      </c>
      <c r="F450" s="4">
        <v>6891</v>
      </c>
      <c r="G450" s="5">
        <v>100.01000000000002</v>
      </c>
      <c r="H450" s="4">
        <v>13</v>
      </c>
    </row>
    <row r="451" spans="1:8" x14ac:dyDescent="0.15">
      <c r="A451" s="2" t="s">
        <v>62</v>
      </c>
      <c r="B451" s="4">
        <v>1</v>
      </c>
      <c r="C451" s="5">
        <v>0.01</v>
      </c>
      <c r="D451" s="4">
        <v>0</v>
      </c>
      <c r="E451" s="5">
        <v>0</v>
      </c>
      <c r="F451" s="4">
        <v>1</v>
      </c>
      <c r="G451" s="5">
        <v>0.01</v>
      </c>
      <c r="H451" s="4">
        <v>0</v>
      </c>
    </row>
    <row r="452" spans="1:8" x14ac:dyDescent="0.15">
      <c r="A452" s="2" t="s">
        <v>63</v>
      </c>
      <c r="B452" s="4">
        <v>2166</v>
      </c>
      <c r="C452" s="5">
        <v>16.34</v>
      </c>
      <c r="D452" s="4">
        <v>515</v>
      </c>
      <c r="E452" s="5">
        <v>8.11</v>
      </c>
      <c r="F452" s="4">
        <v>1651</v>
      </c>
      <c r="G452" s="5">
        <v>23.96</v>
      </c>
      <c r="H452" s="4">
        <v>0</v>
      </c>
    </row>
    <row r="453" spans="1:8" x14ac:dyDescent="0.15">
      <c r="A453" s="2" t="s">
        <v>64</v>
      </c>
      <c r="B453" s="4">
        <v>1322</v>
      </c>
      <c r="C453" s="5">
        <v>9.98</v>
      </c>
      <c r="D453" s="4">
        <v>293</v>
      </c>
      <c r="E453" s="5">
        <v>4.6100000000000003</v>
      </c>
      <c r="F453" s="4">
        <v>1029</v>
      </c>
      <c r="G453" s="5">
        <v>14.93</v>
      </c>
      <c r="H453" s="4">
        <v>0</v>
      </c>
    </row>
    <row r="454" spans="1:8" x14ac:dyDescent="0.15">
      <c r="A454" s="2" t="s">
        <v>65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66</v>
      </c>
      <c r="B455" s="4">
        <v>135</v>
      </c>
      <c r="C455" s="5">
        <v>1.02</v>
      </c>
      <c r="D455" s="4">
        <v>9</v>
      </c>
      <c r="E455" s="5">
        <v>0.14000000000000001</v>
      </c>
      <c r="F455" s="4">
        <v>124</v>
      </c>
      <c r="G455" s="5">
        <v>1.8</v>
      </c>
      <c r="H455" s="4">
        <v>2</v>
      </c>
    </row>
    <row r="456" spans="1:8" x14ac:dyDescent="0.15">
      <c r="A456" s="2" t="s">
        <v>67</v>
      </c>
      <c r="B456" s="4">
        <v>139</v>
      </c>
      <c r="C456" s="5">
        <v>1.05</v>
      </c>
      <c r="D456" s="4">
        <v>47</v>
      </c>
      <c r="E456" s="5">
        <v>0.74</v>
      </c>
      <c r="F456" s="4">
        <v>92</v>
      </c>
      <c r="G456" s="5">
        <v>1.34</v>
      </c>
      <c r="H456" s="4">
        <v>0</v>
      </c>
    </row>
    <row r="457" spans="1:8" x14ac:dyDescent="0.15">
      <c r="A457" s="2" t="s">
        <v>68</v>
      </c>
      <c r="B457" s="4">
        <v>2404</v>
      </c>
      <c r="C457" s="5">
        <v>18.14</v>
      </c>
      <c r="D457" s="4">
        <v>928</v>
      </c>
      <c r="E457" s="5">
        <v>14.62</v>
      </c>
      <c r="F457" s="4">
        <v>1474</v>
      </c>
      <c r="G457" s="5">
        <v>21.39</v>
      </c>
      <c r="H457" s="4">
        <v>2</v>
      </c>
    </row>
    <row r="458" spans="1:8" x14ac:dyDescent="0.15">
      <c r="A458" s="2" t="s">
        <v>69</v>
      </c>
      <c r="B458" s="4">
        <v>64</v>
      </c>
      <c r="C458" s="5">
        <v>0.48</v>
      </c>
      <c r="D458" s="4">
        <v>11</v>
      </c>
      <c r="E458" s="5">
        <v>0.17</v>
      </c>
      <c r="F458" s="4">
        <v>53</v>
      </c>
      <c r="G458" s="5">
        <v>0.77</v>
      </c>
      <c r="H458" s="4">
        <v>0</v>
      </c>
    </row>
    <row r="459" spans="1:8" x14ac:dyDescent="0.15">
      <c r="A459" s="2" t="s">
        <v>70</v>
      </c>
      <c r="B459" s="4">
        <v>1583</v>
      </c>
      <c r="C459" s="5">
        <v>11.94</v>
      </c>
      <c r="D459" s="4">
        <v>818</v>
      </c>
      <c r="E459" s="5">
        <v>12.88</v>
      </c>
      <c r="F459" s="4">
        <v>763</v>
      </c>
      <c r="G459" s="5">
        <v>11.07</v>
      </c>
      <c r="H459" s="4">
        <v>2</v>
      </c>
    </row>
    <row r="460" spans="1:8" x14ac:dyDescent="0.15">
      <c r="A460" s="2" t="s">
        <v>71</v>
      </c>
      <c r="B460" s="4">
        <v>697</v>
      </c>
      <c r="C460" s="5">
        <v>5.26</v>
      </c>
      <c r="D460" s="4">
        <v>338</v>
      </c>
      <c r="E460" s="5">
        <v>5.32</v>
      </c>
      <c r="F460" s="4">
        <v>358</v>
      </c>
      <c r="G460" s="5">
        <v>5.2</v>
      </c>
      <c r="H460" s="4">
        <v>1</v>
      </c>
    </row>
    <row r="461" spans="1:8" x14ac:dyDescent="0.15">
      <c r="A461" s="2" t="s">
        <v>72</v>
      </c>
      <c r="B461" s="4">
        <v>1391</v>
      </c>
      <c r="C461" s="5">
        <v>10.5</v>
      </c>
      <c r="D461" s="4">
        <v>1126</v>
      </c>
      <c r="E461" s="5">
        <v>17.739999999999998</v>
      </c>
      <c r="F461" s="4">
        <v>264</v>
      </c>
      <c r="G461" s="5">
        <v>3.83</v>
      </c>
      <c r="H461" s="4">
        <v>1</v>
      </c>
    </row>
    <row r="462" spans="1:8" x14ac:dyDescent="0.15">
      <c r="A462" s="2" t="s">
        <v>73</v>
      </c>
      <c r="B462" s="4">
        <v>1617</v>
      </c>
      <c r="C462" s="5">
        <v>12.2</v>
      </c>
      <c r="D462" s="4">
        <v>1223</v>
      </c>
      <c r="E462" s="5">
        <v>19.260000000000002</v>
      </c>
      <c r="F462" s="4">
        <v>393</v>
      </c>
      <c r="G462" s="5">
        <v>5.7</v>
      </c>
      <c r="H462" s="4">
        <v>1</v>
      </c>
    </row>
    <row r="463" spans="1:8" x14ac:dyDescent="0.15">
      <c r="A463" s="2" t="s">
        <v>74</v>
      </c>
      <c r="B463" s="4">
        <v>602</v>
      </c>
      <c r="C463" s="5">
        <v>4.54</v>
      </c>
      <c r="D463" s="4">
        <v>458</v>
      </c>
      <c r="E463" s="5">
        <v>7.21</v>
      </c>
      <c r="F463" s="4">
        <v>141</v>
      </c>
      <c r="G463" s="5">
        <v>2.0499999999999998</v>
      </c>
      <c r="H463" s="4">
        <v>3</v>
      </c>
    </row>
    <row r="464" spans="1:8" x14ac:dyDescent="0.15">
      <c r="A464" s="2" t="s">
        <v>75</v>
      </c>
      <c r="B464" s="4">
        <v>696</v>
      </c>
      <c r="C464" s="5">
        <v>5.25</v>
      </c>
      <c r="D464" s="4">
        <v>450</v>
      </c>
      <c r="E464" s="5">
        <v>7.09</v>
      </c>
      <c r="F464" s="4">
        <v>245</v>
      </c>
      <c r="G464" s="5">
        <v>3.56</v>
      </c>
      <c r="H464" s="4">
        <v>1</v>
      </c>
    </row>
    <row r="465" spans="1:8" x14ac:dyDescent="0.15">
      <c r="A465" s="2" t="s">
        <v>76</v>
      </c>
      <c r="B465" s="4">
        <v>436</v>
      </c>
      <c r="C465" s="5">
        <v>3.29</v>
      </c>
      <c r="D465" s="4">
        <v>133</v>
      </c>
      <c r="E465" s="5">
        <v>2.09</v>
      </c>
      <c r="F465" s="4">
        <v>303</v>
      </c>
      <c r="G465" s="5">
        <v>4.4000000000000004</v>
      </c>
      <c r="H465" s="4">
        <v>0</v>
      </c>
    </row>
    <row r="466" spans="1:8" x14ac:dyDescent="0.15">
      <c r="A466" s="1" t="s">
        <v>29</v>
      </c>
      <c r="B466" s="4">
        <v>3510</v>
      </c>
      <c r="C466" s="5">
        <v>100.01</v>
      </c>
      <c r="D466" s="4">
        <v>1766</v>
      </c>
      <c r="E466" s="5">
        <v>100.00999999999999</v>
      </c>
      <c r="F466" s="4">
        <v>1742</v>
      </c>
      <c r="G466" s="5">
        <v>100.02</v>
      </c>
      <c r="H466" s="4">
        <v>2</v>
      </c>
    </row>
    <row r="467" spans="1:8" x14ac:dyDescent="0.15">
      <c r="A467" s="2" t="s">
        <v>62</v>
      </c>
      <c r="B467" s="4">
        <v>1</v>
      </c>
      <c r="C467" s="5">
        <v>0.03</v>
      </c>
      <c r="D467" s="4">
        <v>0</v>
      </c>
      <c r="E467" s="5">
        <v>0</v>
      </c>
      <c r="F467" s="4">
        <v>1</v>
      </c>
      <c r="G467" s="5">
        <v>0.06</v>
      </c>
      <c r="H467" s="4">
        <v>0</v>
      </c>
    </row>
    <row r="468" spans="1:8" x14ac:dyDescent="0.15">
      <c r="A468" s="2" t="s">
        <v>63</v>
      </c>
      <c r="B468" s="4">
        <v>618</v>
      </c>
      <c r="C468" s="5">
        <v>17.61</v>
      </c>
      <c r="D468" s="4">
        <v>205</v>
      </c>
      <c r="E468" s="5">
        <v>11.61</v>
      </c>
      <c r="F468" s="4">
        <v>413</v>
      </c>
      <c r="G468" s="5">
        <v>23.71</v>
      </c>
      <c r="H468" s="4">
        <v>0</v>
      </c>
    </row>
    <row r="469" spans="1:8" x14ac:dyDescent="0.15">
      <c r="A469" s="2" t="s">
        <v>64</v>
      </c>
      <c r="B469" s="4">
        <v>485</v>
      </c>
      <c r="C469" s="5">
        <v>13.82</v>
      </c>
      <c r="D469" s="4">
        <v>141</v>
      </c>
      <c r="E469" s="5">
        <v>7.98</v>
      </c>
      <c r="F469" s="4">
        <v>344</v>
      </c>
      <c r="G469" s="5">
        <v>19.75</v>
      </c>
      <c r="H469" s="4">
        <v>0</v>
      </c>
    </row>
    <row r="470" spans="1:8" x14ac:dyDescent="0.15">
      <c r="A470" s="2" t="s">
        <v>65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66</v>
      </c>
      <c r="B471" s="4">
        <v>27</v>
      </c>
      <c r="C471" s="5">
        <v>0.77</v>
      </c>
      <c r="D471" s="4">
        <v>2</v>
      </c>
      <c r="E471" s="5">
        <v>0.11</v>
      </c>
      <c r="F471" s="4">
        <v>25</v>
      </c>
      <c r="G471" s="5">
        <v>1.44</v>
      </c>
      <c r="H471" s="4">
        <v>0</v>
      </c>
    </row>
    <row r="472" spans="1:8" x14ac:dyDescent="0.15">
      <c r="A472" s="2" t="s">
        <v>67</v>
      </c>
      <c r="B472" s="4">
        <v>40</v>
      </c>
      <c r="C472" s="5">
        <v>1.1399999999999999</v>
      </c>
      <c r="D472" s="4">
        <v>10</v>
      </c>
      <c r="E472" s="5">
        <v>0.56999999999999995</v>
      </c>
      <c r="F472" s="4">
        <v>30</v>
      </c>
      <c r="G472" s="5">
        <v>1.72</v>
      </c>
      <c r="H472" s="4">
        <v>0</v>
      </c>
    </row>
    <row r="473" spans="1:8" x14ac:dyDescent="0.15">
      <c r="A473" s="2" t="s">
        <v>68</v>
      </c>
      <c r="B473" s="4">
        <v>633</v>
      </c>
      <c r="C473" s="5">
        <v>18.03</v>
      </c>
      <c r="D473" s="4">
        <v>267</v>
      </c>
      <c r="E473" s="5">
        <v>15.12</v>
      </c>
      <c r="F473" s="4">
        <v>366</v>
      </c>
      <c r="G473" s="5">
        <v>21.01</v>
      </c>
      <c r="H473" s="4">
        <v>0</v>
      </c>
    </row>
    <row r="474" spans="1:8" x14ac:dyDescent="0.15">
      <c r="A474" s="2" t="s">
        <v>69</v>
      </c>
      <c r="B474" s="4">
        <v>11</v>
      </c>
      <c r="C474" s="5">
        <v>0.31</v>
      </c>
      <c r="D474" s="4">
        <v>3</v>
      </c>
      <c r="E474" s="5">
        <v>0.17</v>
      </c>
      <c r="F474" s="4">
        <v>8</v>
      </c>
      <c r="G474" s="5">
        <v>0.46</v>
      </c>
      <c r="H474" s="4">
        <v>0</v>
      </c>
    </row>
    <row r="475" spans="1:8" x14ac:dyDescent="0.15">
      <c r="A475" s="2" t="s">
        <v>70</v>
      </c>
      <c r="B475" s="4">
        <v>407</v>
      </c>
      <c r="C475" s="5">
        <v>11.6</v>
      </c>
      <c r="D475" s="4">
        <v>255</v>
      </c>
      <c r="E475" s="5">
        <v>14.44</v>
      </c>
      <c r="F475" s="4">
        <v>152</v>
      </c>
      <c r="G475" s="5">
        <v>8.73</v>
      </c>
      <c r="H475" s="4">
        <v>0</v>
      </c>
    </row>
    <row r="476" spans="1:8" x14ac:dyDescent="0.15">
      <c r="A476" s="2" t="s">
        <v>71</v>
      </c>
      <c r="B476" s="4">
        <v>159</v>
      </c>
      <c r="C476" s="5">
        <v>4.53</v>
      </c>
      <c r="D476" s="4">
        <v>78</v>
      </c>
      <c r="E476" s="5">
        <v>4.42</v>
      </c>
      <c r="F476" s="4">
        <v>81</v>
      </c>
      <c r="G476" s="5">
        <v>4.6500000000000004</v>
      </c>
      <c r="H476" s="4">
        <v>0</v>
      </c>
    </row>
    <row r="477" spans="1:8" x14ac:dyDescent="0.15">
      <c r="A477" s="2" t="s">
        <v>72</v>
      </c>
      <c r="B477" s="4">
        <v>318</v>
      </c>
      <c r="C477" s="5">
        <v>9.06</v>
      </c>
      <c r="D477" s="4">
        <v>246</v>
      </c>
      <c r="E477" s="5">
        <v>13.93</v>
      </c>
      <c r="F477" s="4">
        <v>71</v>
      </c>
      <c r="G477" s="5">
        <v>4.08</v>
      </c>
      <c r="H477" s="4">
        <v>1</v>
      </c>
    </row>
    <row r="478" spans="1:8" x14ac:dyDescent="0.15">
      <c r="A478" s="2" t="s">
        <v>73</v>
      </c>
      <c r="B478" s="4">
        <v>371</v>
      </c>
      <c r="C478" s="5">
        <v>10.57</v>
      </c>
      <c r="D478" s="4">
        <v>282</v>
      </c>
      <c r="E478" s="5">
        <v>15.97</v>
      </c>
      <c r="F478" s="4">
        <v>89</v>
      </c>
      <c r="G478" s="5">
        <v>5.1100000000000003</v>
      </c>
      <c r="H478" s="4">
        <v>0</v>
      </c>
    </row>
    <row r="479" spans="1:8" x14ac:dyDescent="0.15">
      <c r="A479" s="2" t="s">
        <v>74</v>
      </c>
      <c r="B479" s="4">
        <v>147</v>
      </c>
      <c r="C479" s="5">
        <v>4.1900000000000004</v>
      </c>
      <c r="D479" s="4">
        <v>114</v>
      </c>
      <c r="E479" s="5">
        <v>6.46</v>
      </c>
      <c r="F479" s="4">
        <v>32</v>
      </c>
      <c r="G479" s="5">
        <v>1.84</v>
      </c>
      <c r="H479" s="4">
        <v>1</v>
      </c>
    </row>
    <row r="480" spans="1:8" x14ac:dyDescent="0.15">
      <c r="A480" s="2" t="s">
        <v>75</v>
      </c>
      <c r="B480" s="4">
        <v>164</v>
      </c>
      <c r="C480" s="5">
        <v>4.67</v>
      </c>
      <c r="D480" s="4">
        <v>110</v>
      </c>
      <c r="E480" s="5">
        <v>6.23</v>
      </c>
      <c r="F480" s="4">
        <v>54</v>
      </c>
      <c r="G480" s="5">
        <v>3.1</v>
      </c>
      <c r="H480" s="4">
        <v>0</v>
      </c>
    </row>
    <row r="481" spans="1:8" x14ac:dyDescent="0.15">
      <c r="A481" s="2" t="s">
        <v>76</v>
      </c>
      <c r="B481" s="4">
        <v>129</v>
      </c>
      <c r="C481" s="5">
        <v>3.68</v>
      </c>
      <c r="D481" s="4">
        <v>53</v>
      </c>
      <c r="E481" s="5">
        <v>3</v>
      </c>
      <c r="F481" s="4">
        <v>76</v>
      </c>
      <c r="G481" s="5">
        <v>4.3600000000000003</v>
      </c>
      <c r="H481" s="4">
        <v>0</v>
      </c>
    </row>
    <row r="482" spans="1:8" x14ac:dyDescent="0.15">
      <c r="A482" s="1" t="s">
        <v>30</v>
      </c>
      <c r="B482" s="4">
        <v>5065</v>
      </c>
      <c r="C482" s="5">
        <v>99.990000000000009</v>
      </c>
      <c r="D482" s="4">
        <v>2263</v>
      </c>
      <c r="E482" s="5">
        <v>99.99</v>
      </c>
      <c r="F482" s="4">
        <v>2795</v>
      </c>
      <c r="G482" s="5">
        <v>100.01000000000002</v>
      </c>
      <c r="H482" s="4">
        <v>7</v>
      </c>
    </row>
    <row r="483" spans="1:8" x14ac:dyDescent="0.15">
      <c r="A483" s="2" t="s">
        <v>62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63</v>
      </c>
      <c r="B484" s="4">
        <v>832</v>
      </c>
      <c r="C484" s="5">
        <v>16.43</v>
      </c>
      <c r="D484" s="4">
        <v>161</v>
      </c>
      <c r="E484" s="5">
        <v>7.11</v>
      </c>
      <c r="F484" s="4">
        <v>671</v>
      </c>
      <c r="G484" s="5">
        <v>24.01</v>
      </c>
      <c r="H484" s="4">
        <v>0</v>
      </c>
    </row>
    <row r="485" spans="1:8" x14ac:dyDescent="0.15">
      <c r="A485" s="2" t="s">
        <v>64</v>
      </c>
      <c r="B485" s="4">
        <v>601</v>
      </c>
      <c r="C485" s="5">
        <v>11.87</v>
      </c>
      <c r="D485" s="4">
        <v>105</v>
      </c>
      <c r="E485" s="5">
        <v>4.6399999999999997</v>
      </c>
      <c r="F485" s="4">
        <v>496</v>
      </c>
      <c r="G485" s="5">
        <v>17.75</v>
      </c>
      <c r="H485" s="4">
        <v>0</v>
      </c>
    </row>
    <row r="486" spans="1:8" x14ac:dyDescent="0.15">
      <c r="A486" s="2" t="s">
        <v>65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66</v>
      </c>
      <c r="B487" s="4">
        <v>43</v>
      </c>
      <c r="C487" s="5">
        <v>0.85</v>
      </c>
      <c r="D487" s="4">
        <v>4</v>
      </c>
      <c r="E487" s="5">
        <v>0.18</v>
      </c>
      <c r="F487" s="4">
        <v>38</v>
      </c>
      <c r="G487" s="5">
        <v>1.36</v>
      </c>
      <c r="H487" s="4">
        <v>1</v>
      </c>
    </row>
    <row r="488" spans="1:8" x14ac:dyDescent="0.15">
      <c r="A488" s="2" t="s">
        <v>67</v>
      </c>
      <c r="B488" s="4">
        <v>66</v>
      </c>
      <c r="C488" s="5">
        <v>1.3</v>
      </c>
      <c r="D488" s="4">
        <v>20</v>
      </c>
      <c r="E488" s="5">
        <v>0.88</v>
      </c>
      <c r="F488" s="4">
        <v>46</v>
      </c>
      <c r="G488" s="5">
        <v>1.65</v>
      </c>
      <c r="H488" s="4">
        <v>0</v>
      </c>
    </row>
    <row r="489" spans="1:8" x14ac:dyDescent="0.15">
      <c r="A489" s="2" t="s">
        <v>68</v>
      </c>
      <c r="B489" s="4">
        <v>869</v>
      </c>
      <c r="C489" s="5">
        <v>17.16</v>
      </c>
      <c r="D489" s="4">
        <v>332</v>
      </c>
      <c r="E489" s="5">
        <v>14.67</v>
      </c>
      <c r="F489" s="4">
        <v>535</v>
      </c>
      <c r="G489" s="5">
        <v>19.14</v>
      </c>
      <c r="H489" s="4">
        <v>2</v>
      </c>
    </row>
    <row r="490" spans="1:8" x14ac:dyDescent="0.15">
      <c r="A490" s="2" t="s">
        <v>69</v>
      </c>
      <c r="B490" s="4">
        <v>29</v>
      </c>
      <c r="C490" s="5">
        <v>0.56999999999999995</v>
      </c>
      <c r="D490" s="4">
        <v>6</v>
      </c>
      <c r="E490" s="5">
        <v>0.27</v>
      </c>
      <c r="F490" s="4">
        <v>23</v>
      </c>
      <c r="G490" s="5">
        <v>0.82</v>
      </c>
      <c r="H490" s="4">
        <v>0</v>
      </c>
    </row>
    <row r="491" spans="1:8" x14ac:dyDescent="0.15">
      <c r="A491" s="2" t="s">
        <v>70</v>
      </c>
      <c r="B491" s="4">
        <v>449</v>
      </c>
      <c r="C491" s="5">
        <v>8.86</v>
      </c>
      <c r="D491" s="4">
        <v>156</v>
      </c>
      <c r="E491" s="5">
        <v>6.89</v>
      </c>
      <c r="F491" s="4">
        <v>291</v>
      </c>
      <c r="G491" s="5">
        <v>10.41</v>
      </c>
      <c r="H491" s="4">
        <v>2</v>
      </c>
    </row>
    <row r="492" spans="1:8" x14ac:dyDescent="0.15">
      <c r="A492" s="2" t="s">
        <v>71</v>
      </c>
      <c r="B492" s="4">
        <v>269</v>
      </c>
      <c r="C492" s="5">
        <v>5.31</v>
      </c>
      <c r="D492" s="4">
        <v>129</v>
      </c>
      <c r="E492" s="5">
        <v>5.7</v>
      </c>
      <c r="F492" s="4">
        <v>139</v>
      </c>
      <c r="G492" s="5">
        <v>4.97</v>
      </c>
      <c r="H492" s="4">
        <v>1</v>
      </c>
    </row>
    <row r="493" spans="1:8" x14ac:dyDescent="0.15">
      <c r="A493" s="2" t="s">
        <v>72</v>
      </c>
      <c r="B493" s="4">
        <v>605</v>
      </c>
      <c r="C493" s="5">
        <v>11.94</v>
      </c>
      <c r="D493" s="4">
        <v>502</v>
      </c>
      <c r="E493" s="5">
        <v>22.18</v>
      </c>
      <c r="F493" s="4">
        <v>103</v>
      </c>
      <c r="G493" s="5">
        <v>3.69</v>
      </c>
      <c r="H493" s="4">
        <v>0</v>
      </c>
    </row>
    <row r="494" spans="1:8" x14ac:dyDescent="0.15">
      <c r="A494" s="2" t="s">
        <v>73</v>
      </c>
      <c r="B494" s="4">
        <v>641</v>
      </c>
      <c r="C494" s="5">
        <v>12.66</v>
      </c>
      <c r="D494" s="4">
        <v>476</v>
      </c>
      <c r="E494" s="5">
        <v>21.03</v>
      </c>
      <c r="F494" s="4">
        <v>165</v>
      </c>
      <c r="G494" s="5">
        <v>5.9</v>
      </c>
      <c r="H494" s="4">
        <v>0</v>
      </c>
    </row>
    <row r="495" spans="1:8" x14ac:dyDescent="0.15">
      <c r="A495" s="2" t="s">
        <v>74</v>
      </c>
      <c r="B495" s="4">
        <v>216</v>
      </c>
      <c r="C495" s="5">
        <v>4.26</v>
      </c>
      <c r="D495" s="4">
        <v>162</v>
      </c>
      <c r="E495" s="5">
        <v>7.16</v>
      </c>
      <c r="F495" s="4">
        <v>53</v>
      </c>
      <c r="G495" s="5">
        <v>1.9</v>
      </c>
      <c r="H495" s="4">
        <v>1</v>
      </c>
    </row>
    <row r="496" spans="1:8" x14ac:dyDescent="0.15">
      <c r="A496" s="2" t="s">
        <v>75</v>
      </c>
      <c r="B496" s="4">
        <v>258</v>
      </c>
      <c r="C496" s="5">
        <v>5.09</v>
      </c>
      <c r="D496" s="4">
        <v>160</v>
      </c>
      <c r="E496" s="5">
        <v>7.07</v>
      </c>
      <c r="F496" s="4">
        <v>98</v>
      </c>
      <c r="G496" s="5">
        <v>3.51</v>
      </c>
      <c r="H496" s="4">
        <v>0</v>
      </c>
    </row>
    <row r="497" spans="1:8" x14ac:dyDescent="0.15">
      <c r="A497" s="2" t="s">
        <v>76</v>
      </c>
      <c r="B497" s="4">
        <v>187</v>
      </c>
      <c r="C497" s="5">
        <v>3.69</v>
      </c>
      <c r="D497" s="4">
        <v>50</v>
      </c>
      <c r="E497" s="5">
        <v>2.21</v>
      </c>
      <c r="F497" s="4">
        <v>137</v>
      </c>
      <c r="G497" s="5">
        <v>4.9000000000000004</v>
      </c>
      <c r="H497" s="4">
        <v>0</v>
      </c>
    </row>
    <row r="498" spans="1:8" x14ac:dyDescent="0.15">
      <c r="A498" s="1" t="s">
        <v>31</v>
      </c>
      <c r="B498" s="4">
        <v>4678</v>
      </c>
      <c r="C498" s="5">
        <v>100</v>
      </c>
      <c r="D498" s="4">
        <v>2320</v>
      </c>
      <c r="E498" s="5">
        <v>99.990000000000009</v>
      </c>
      <c r="F498" s="4">
        <v>2354</v>
      </c>
      <c r="G498" s="5">
        <v>99.979999999999976</v>
      </c>
      <c r="H498" s="4">
        <v>4</v>
      </c>
    </row>
    <row r="499" spans="1:8" x14ac:dyDescent="0.15">
      <c r="A499" s="2" t="s">
        <v>62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63</v>
      </c>
      <c r="B500" s="4">
        <v>716</v>
      </c>
      <c r="C500" s="5">
        <v>15.31</v>
      </c>
      <c r="D500" s="4">
        <v>149</v>
      </c>
      <c r="E500" s="5">
        <v>6.42</v>
      </c>
      <c r="F500" s="4">
        <v>567</v>
      </c>
      <c r="G500" s="5">
        <v>24.09</v>
      </c>
      <c r="H500" s="4">
        <v>0</v>
      </c>
    </row>
    <row r="501" spans="1:8" x14ac:dyDescent="0.15">
      <c r="A501" s="2" t="s">
        <v>64</v>
      </c>
      <c r="B501" s="4">
        <v>236</v>
      </c>
      <c r="C501" s="5">
        <v>5.04</v>
      </c>
      <c r="D501" s="4">
        <v>47</v>
      </c>
      <c r="E501" s="5">
        <v>2.0299999999999998</v>
      </c>
      <c r="F501" s="4">
        <v>189</v>
      </c>
      <c r="G501" s="5">
        <v>8.0299999999999994</v>
      </c>
      <c r="H501" s="4">
        <v>0</v>
      </c>
    </row>
    <row r="502" spans="1:8" x14ac:dyDescent="0.15">
      <c r="A502" s="2" t="s">
        <v>65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66</v>
      </c>
      <c r="B503" s="4">
        <v>65</v>
      </c>
      <c r="C503" s="5">
        <v>1.39</v>
      </c>
      <c r="D503" s="4">
        <v>3</v>
      </c>
      <c r="E503" s="5">
        <v>0.13</v>
      </c>
      <c r="F503" s="4">
        <v>61</v>
      </c>
      <c r="G503" s="5">
        <v>2.59</v>
      </c>
      <c r="H503" s="4">
        <v>1</v>
      </c>
    </row>
    <row r="504" spans="1:8" x14ac:dyDescent="0.15">
      <c r="A504" s="2" t="s">
        <v>67</v>
      </c>
      <c r="B504" s="4">
        <v>33</v>
      </c>
      <c r="C504" s="5">
        <v>0.71</v>
      </c>
      <c r="D504" s="4">
        <v>17</v>
      </c>
      <c r="E504" s="5">
        <v>0.73</v>
      </c>
      <c r="F504" s="4">
        <v>16</v>
      </c>
      <c r="G504" s="5">
        <v>0.68</v>
      </c>
      <c r="H504" s="4">
        <v>0</v>
      </c>
    </row>
    <row r="505" spans="1:8" x14ac:dyDescent="0.15">
      <c r="A505" s="2" t="s">
        <v>68</v>
      </c>
      <c r="B505" s="4">
        <v>902</v>
      </c>
      <c r="C505" s="5">
        <v>19.28</v>
      </c>
      <c r="D505" s="4">
        <v>329</v>
      </c>
      <c r="E505" s="5">
        <v>14.18</v>
      </c>
      <c r="F505" s="4">
        <v>573</v>
      </c>
      <c r="G505" s="5">
        <v>24.34</v>
      </c>
      <c r="H505" s="4">
        <v>0</v>
      </c>
    </row>
    <row r="506" spans="1:8" x14ac:dyDescent="0.15">
      <c r="A506" s="2" t="s">
        <v>69</v>
      </c>
      <c r="B506" s="4">
        <v>24</v>
      </c>
      <c r="C506" s="5">
        <v>0.51</v>
      </c>
      <c r="D506" s="4">
        <v>2</v>
      </c>
      <c r="E506" s="5">
        <v>0.09</v>
      </c>
      <c r="F506" s="4">
        <v>22</v>
      </c>
      <c r="G506" s="5">
        <v>0.93</v>
      </c>
      <c r="H506" s="4">
        <v>0</v>
      </c>
    </row>
    <row r="507" spans="1:8" x14ac:dyDescent="0.15">
      <c r="A507" s="2" t="s">
        <v>70</v>
      </c>
      <c r="B507" s="4">
        <v>727</v>
      </c>
      <c r="C507" s="5">
        <v>15.54</v>
      </c>
      <c r="D507" s="4">
        <v>407</v>
      </c>
      <c r="E507" s="5">
        <v>17.54</v>
      </c>
      <c r="F507" s="4">
        <v>320</v>
      </c>
      <c r="G507" s="5">
        <v>13.59</v>
      </c>
      <c r="H507" s="4">
        <v>0</v>
      </c>
    </row>
    <row r="508" spans="1:8" x14ac:dyDescent="0.15">
      <c r="A508" s="2" t="s">
        <v>71</v>
      </c>
      <c r="B508" s="4">
        <v>269</v>
      </c>
      <c r="C508" s="5">
        <v>5.75</v>
      </c>
      <c r="D508" s="4">
        <v>131</v>
      </c>
      <c r="E508" s="5">
        <v>5.65</v>
      </c>
      <c r="F508" s="4">
        <v>138</v>
      </c>
      <c r="G508" s="5">
        <v>5.86</v>
      </c>
      <c r="H508" s="4">
        <v>0</v>
      </c>
    </row>
    <row r="509" spans="1:8" x14ac:dyDescent="0.15">
      <c r="A509" s="2" t="s">
        <v>72</v>
      </c>
      <c r="B509" s="4">
        <v>468</v>
      </c>
      <c r="C509" s="5">
        <v>10</v>
      </c>
      <c r="D509" s="4">
        <v>378</v>
      </c>
      <c r="E509" s="5">
        <v>16.29</v>
      </c>
      <c r="F509" s="4">
        <v>90</v>
      </c>
      <c r="G509" s="5">
        <v>3.82</v>
      </c>
      <c r="H509" s="4">
        <v>0</v>
      </c>
    </row>
    <row r="510" spans="1:8" x14ac:dyDescent="0.15">
      <c r="A510" s="2" t="s">
        <v>73</v>
      </c>
      <c r="B510" s="4">
        <v>605</v>
      </c>
      <c r="C510" s="5">
        <v>12.93</v>
      </c>
      <c r="D510" s="4">
        <v>465</v>
      </c>
      <c r="E510" s="5">
        <v>20.04</v>
      </c>
      <c r="F510" s="4">
        <v>139</v>
      </c>
      <c r="G510" s="5">
        <v>5.9</v>
      </c>
      <c r="H510" s="4">
        <v>1</v>
      </c>
    </row>
    <row r="511" spans="1:8" x14ac:dyDescent="0.15">
      <c r="A511" s="2" t="s">
        <v>74</v>
      </c>
      <c r="B511" s="4">
        <v>239</v>
      </c>
      <c r="C511" s="5">
        <v>5.1100000000000003</v>
      </c>
      <c r="D511" s="4">
        <v>182</v>
      </c>
      <c r="E511" s="5">
        <v>7.84</v>
      </c>
      <c r="F511" s="4">
        <v>56</v>
      </c>
      <c r="G511" s="5">
        <v>2.38</v>
      </c>
      <c r="H511" s="4">
        <v>1</v>
      </c>
    </row>
    <row r="512" spans="1:8" x14ac:dyDescent="0.15">
      <c r="A512" s="2" t="s">
        <v>75</v>
      </c>
      <c r="B512" s="4">
        <v>274</v>
      </c>
      <c r="C512" s="5">
        <v>5.86</v>
      </c>
      <c r="D512" s="4">
        <v>180</v>
      </c>
      <c r="E512" s="5">
        <v>7.76</v>
      </c>
      <c r="F512" s="4">
        <v>93</v>
      </c>
      <c r="G512" s="5">
        <v>3.95</v>
      </c>
      <c r="H512" s="4">
        <v>1</v>
      </c>
    </row>
    <row r="513" spans="1:8" x14ac:dyDescent="0.15">
      <c r="A513" s="2" t="s">
        <v>76</v>
      </c>
      <c r="B513" s="4">
        <v>120</v>
      </c>
      <c r="C513" s="5">
        <v>2.57</v>
      </c>
      <c r="D513" s="4">
        <v>30</v>
      </c>
      <c r="E513" s="5">
        <v>1.29</v>
      </c>
      <c r="F513" s="4">
        <v>90</v>
      </c>
      <c r="G513" s="5">
        <v>3.82</v>
      </c>
      <c r="H513" s="4">
        <v>0</v>
      </c>
    </row>
    <row r="514" spans="1:8" x14ac:dyDescent="0.15">
      <c r="A514" s="1" t="s">
        <v>32</v>
      </c>
      <c r="B514" s="4">
        <v>7785</v>
      </c>
      <c r="C514" s="5">
        <v>100</v>
      </c>
      <c r="D514" s="4">
        <v>4263</v>
      </c>
      <c r="E514" s="5">
        <v>99.990000000000009</v>
      </c>
      <c r="F514" s="4">
        <v>3514</v>
      </c>
      <c r="G514" s="5">
        <v>100.00999999999999</v>
      </c>
      <c r="H514" s="4">
        <v>8</v>
      </c>
    </row>
    <row r="515" spans="1:8" x14ac:dyDescent="0.15">
      <c r="A515" s="2" t="s">
        <v>62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63</v>
      </c>
      <c r="B516" s="4">
        <v>1181</v>
      </c>
      <c r="C516" s="5">
        <v>15.17</v>
      </c>
      <c r="D516" s="4">
        <v>293</v>
      </c>
      <c r="E516" s="5">
        <v>6.87</v>
      </c>
      <c r="F516" s="4">
        <v>887</v>
      </c>
      <c r="G516" s="5">
        <v>25.24</v>
      </c>
      <c r="H516" s="4">
        <v>1</v>
      </c>
    </row>
    <row r="517" spans="1:8" x14ac:dyDescent="0.15">
      <c r="A517" s="2" t="s">
        <v>64</v>
      </c>
      <c r="B517" s="4">
        <v>328</v>
      </c>
      <c r="C517" s="5">
        <v>4.21</v>
      </c>
      <c r="D517" s="4">
        <v>79</v>
      </c>
      <c r="E517" s="5">
        <v>1.85</v>
      </c>
      <c r="F517" s="4">
        <v>248</v>
      </c>
      <c r="G517" s="5">
        <v>7.06</v>
      </c>
      <c r="H517" s="4">
        <v>1</v>
      </c>
    </row>
    <row r="518" spans="1:8" x14ac:dyDescent="0.15">
      <c r="A518" s="2" t="s">
        <v>65</v>
      </c>
      <c r="B518" s="4">
        <v>1</v>
      </c>
      <c r="C518" s="5">
        <v>0.01</v>
      </c>
      <c r="D518" s="4">
        <v>0</v>
      </c>
      <c r="E518" s="5">
        <v>0</v>
      </c>
      <c r="F518" s="4">
        <v>1</v>
      </c>
      <c r="G518" s="5">
        <v>0.03</v>
      </c>
      <c r="H518" s="4">
        <v>0</v>
      </c>
    </row>
    <row r="519" spans="1:8" x14ac:dyDescent="0.15">
      <c r="A519" s="2" t="s">
        <v>66</v>
      </c>
      <c r="B519" s="4">
        <v>60</v>
      </c>
      <c r="C519" s="5">
        <v>0.77</v>
      </c>
      <c r="D519" s="4">
        <v>1</v>
      </c>
      <c r="E519" s="5">
        <v>0.02</v>
      </c>
      <c r="F519" s="4">
        <v>59</v>
      </c>
      <c r="G519" s="5">
        <v>1.68</v>
      </c>
      <c r="H519" s="4">
        <v>0</v>
      </c>
    </row>
    <row r="520" spans="1:8" x14ac:dyDescent="0.15">
      <c r="A520" s="2" t="s">
        <v>67</v>
      </c>
      <c r="B520" s="4">
        <v>67</v>
      </c>
      <c r="C520" s="5">
        <v>0.86</v>
      </c>
      <c r="D520" s="4">
        <v>32</v>
      </c>
      <c r="E520" s="5">
        <v>0.75</v>
      </c>
      <c r="F520" s="4">
        <v>35</v>
      </c>
      <c r="G520" s="5">
        <v>1</v>
      </c>
      <c r="H520" s="4">
        <v>0</v>
      </c>
    </row>
    <row r="521" spans="1:8" x14ac:dyDescent="0.15">
      <c r="A521" s="2" t="s">
        <v>68</v>
      </c>
      <c r="B521" s="4">
        <v>1726</v>
      </c>
      <c r="C521" s="5">
        <v>22.17</v>
      </c>
      <c r="D521" s="4">
        <v>773</v>
      </c>
      <c r="E521" s="5">
        <v>18.13</v>
      </c>
      <c r="F521" s="4">
        <v>952</v>
      </c>
      <c r="G521" s="5">
        <v>27.09</v>
      </c>
      <c r="H521" s="4">
        <v>1</v>
      </c>
    </row>
    <row r="522" spans="1:8" x14ac:dyDescent="0.15">
      <c r="A522" s="2" t="s">
        <v>69</v>
      </c>
      <c r="B522" s="4">
        <v>67</v>
      </c>
      <c r="C522" s="5">
        <v>0.86</v>
      </c>
      <c r="D522" s="4">
        <v>16</v>
      </c>
      <c r="E522" s="5">
        <v>0.38</v>
      </c>
      <c r="F522" s="4">
        <v>51</v>
      </c>
      <c r="G522" s="5">
        <v>1.45</v>
      </c>
      <c r="H522" s="4">
        <v>0</v>
      </c>
    </row>
    <row r="523" spans="1:8" x14ac:dyDescent="0.15">
      <c r="A523" s="2" t="s">
        <v>70</v>
      </c>
      <c r="B523" s="4">
        <v>829</v>
      </c>
      <c r="C523" s="5">
        <v>10.65</v>
      </c>
      <c r="D523" s="4">
        <v>460</v>
      </c>
      <c r="E523" s="5">
        <v>10.79</v>
      </c>
      <c r="F523" s="4">
        <v>369</v>
      </c>
      <c r="G523" s="5">
        <v>10.5</v>
      </c>
      <c r="H523" s="4">
        <v>0</v>
      </c>
    </row>
    <row r="524" spans="1:8" x14ac:dyDescent="0.15">
      <c r="A524" s="2" t="s">
        <v>71</v>
      </c>
      <c r="B524" s="4">
        <v>313</v>
      </c>
      <c r="C524" s="5">
        <v>4.0199999999999996</v>
      </c>
      <c r="D524" s="4">
        <v>157</v>
      </c>
      <c r="E524" s="5">
        <v>3.68</v>
      </c>
      <c r="F524" s="4">
        <v>155</v>
      </c>
      <c r="G524" s="5">
        <v>4.41</v>
      </c>
      <c r="H524" s="4">
        <v>1</v>
      </c>
    </row>
    <row r="525" spans="1:8" x14ac:dyDescent="0.15">
      <c r="A525" s="2" t="s">
        <v>72</v>
      </c>
      <c r="B525" s="4">
        <v>1199</v>
      </c>
      <c r="C525" s="5">
        <v>15.4</v>
      </c>
      <c r="D525" s="4">
        <v>1035</v>
      </c>
      <c r="E525" s="5">
        <v>24.28</v>
      </c>
      <c r="F525" s="4">
        <v>164</v>
      </c>
      <c r="G525" s="5">
        <v>4.67</v>
      </c>
      <c r="H525" s="4">
        <v>0</v>
      </c>
    </row>
    <row r="526" spans="1:8" x14ac:dyDescent="0.15">
      <c r="A526" s="2" t="s">
        <v>73</v>
      </c>
      <c r="B526" s="4">
        <v>1095</v>
      </c>
      <c r="C526" s="5">
        <v>14.07</v>
      </c>
      <c r="D526" s="4">
        <v>809</v>
      </c>
      <c r="E526" s="5">
        <v>18.98</v>
      </c>
      <c r="F526" s="4">
        <v>286</v>
      </c>
      <c r="G526" s="5">
        <v>8.14</v>
      </c>
      <c r="H526" s="4">
        <v>0</v>
      </c>
    </row>
    <row r="527" spans="1:8" x14ac:dyDescent="0.15">
      <c r="A527" s="2" t="s">
        <v>74</v>
      </c>
      <c r="B527" s="4">
        <v>299</v>
      </c>
      <c r="C527" s="5">
        <v>3.84</v>
      </c>
      <c r="D527" s="4">
        <v>232</v>
      </c>
      <c r="E527" s="5">
        <v>5.44</v>
      </c>
      <c r="F527" s="4">
        <v>65</v>
      </c>
      <c r="G527" s="5">
        <v>1.85</v>
      </c>
      <c r="H527" s="4">
        <v>2</v>
      </c>
    </row>
    <row r="528" spans="1:8" x14ac:dyDescent="0.15">
      <c r="A528" s="2" t="s">
        <v>75</v>
      </c>
      <c r="B528" s="4">
        <v>459</v>
      </c>
      <c r="C528" s="5">
        <v>5.9</v>
      </c>
      <c r="D528" s="4">
        <v>325</v>
      </c>
      <c r="E528" s="5">
        <v>7.62</v>
      </c>
      <c r="F528" s="4">
        <v>132</v>
      </c>
      <c r="G528" s="5">
        <v>3.76</v>
      </c>
      <c r="H528" s="4">
        <v>2</v>
      </c>
    </row>
    <row r="529" spans="1:8" x14ac:dyDescent="0.15">
      <c r="A529" s="2" t="s">
        <v>76</v>
      </c>
      <c r="B529" s="4">
        <v>161</v>
      </c>
      <c r="C529" s="5">
        <v>2.0699999999999998</v>
      </c>
      <c r="D529" s="4">
        <v>51</v>
      </c>
      <c r="E529" s="5">
        <v>1.2</v>
      </c>
      <c r="F529" s="4">
        <v>110</v>
      </c>
      <c r="G529" s="5">
        <v>3.13</v>
      </c>
      <c r="H529" s="4">
        <v>0</v>
      </c>
    </row>
    <row r="530" spans="1:8" x14ac:dyDescent="0.15">
      <c r="A530" s="1" t="s">
        <v>33</v>
      </c>
      <c r="B530" s="4">
        <v>5534</v>
      </c>
      <c r="C530" s="5">
        <v>100.02</v>
      </c>
      <c r="D530" s="4">
        <v>2759</v>
      </c>
      <c r="E530" s="5">
        <v>99.990000000000009</v>
      </c>
      <c r="F530" s="4">
        <v>2766</v>
      </c>
      <c r="G530" s="5">
        <v>100.00999999999999</v>
      </c>
      <c r="H530" s="4">
        <v>9</v>
      </c>
    </row>
    <row r="531" spans="1:8" x14ac:dyDescent="0.15">
      <c r="A531" s="2" t="s">
        <v>62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63</v>
      </c>
      <c r="B532" s="4">
        <v>796</v>
      </c>
      <c r="C532" s="5">
        <v>14.38</v>
      </c>
      <c r="D532" s="4">
        <v>141</v>
      </c>
      <c r="E532" s="5">
        <v>5.1100000000000003</v>
      </c>
      <c r="F532" s="4">
        <v>655</v>
      </c>
      <c r="G532" s="5">
        <v>23.68</v>
      </c>
      <c r="H532" s="4">
        <v>0</v>
      </c>
    </row>
    <row r="533" spans="1:8" x14ac:dyDescent="0.15">
      <c r="A533" s="2" t="s">
        <v>64</v>
      </c>
      <c r="B533" s="4">
        <v>395</v>
      </c>
      <c r="C533" s="5">
        <v>7.14</v>
      </c>
      <c r="D533" s="4">
        <v>80</v>
      </c>
      <c r="E533" s="5">
        <v>2.9</v>
      </c>
      <c r="F533" s="4">
        <v>314</v>
      </c>
      <c r="G533" s="5">
        <v>11.35</v>
      </c>
      <c r="H533" s="4">
        <v>1</v>
      </c>
    </row>
    <row r="534" spans="1:8" x14ac:dyDescent="0.15">
      <c r="A534" s="2" t="s">
        <v>65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66</v>
      </c>
      <c r="B535" s="4">
        <v>37</v>
      </c>
      <c r="C535" s="5">
        <v>0.67</v>
      </c>
      <c r="D535" s="4">
        <v>5</v>
      </c>
      <c r="E535" s="5">
        <v>0.18</v>
      </c>
      <c r="F535" s="4">
        <v>32</v>
      </c>
      <c r="G535" s="5">
        <v>1.1599999999999999</v>
      </c>
      <c r="H535" s="4">
        <v>0</v>
      </c>
    </row>
    <row r="536" spans="1:8" x14ac:dyDescent="0.15">
      <c r="A536" s="2" t="s">
        <v>67</v>
      </c>
      <c r="B536" s="4">
        <v>40</v>
      </c>
      <c r="C536" s="5">
        <v>0.72</v>
      </c>
      <c r="D536" s="4">
        <v>8</v>
      </c>
      <c r="E536" s="5">
        <v>0.28999999999999998</v>
      </c>
      <c r="F536" s="4">
        <v>32</v>
      </c>
      <c r="G536" s="5">
        <v>1.1599999999999999</v>
      </c>
      <c r="H536" s="4">
        <v>0</v>
      </c>
    </row>
    <row r="537" spans="1:8" x14ac:dyDescent="0.15">
      <c r="A537" s="2" t="s">
        <v>68</v>
      </c>
      <c r="B537" s="4">
        <v>1224</v>
      </c>
      <c r="C537" s="5">
        <v>22.12</v>
      </c>
      <c r="D537" s="4">
        <v>497</v>
      </c>
      <c r="E537" s="5">
        <v>18.010000000000002</v>
      </c>
      <c r="F537" s="4">
        <v>726</v>
      </c>
      <c r="G537" s="5">
        <v>26.25</v>
      </c>
      <c r="H537" s="4">
        <v>1</v>
      </c>
    </row>
    <row r="538" spans="1:8" x14ac:dyDescent="0.15">
      <c r="A538" s="2" t="s">
        <v>69</v>
      </c>
      <c r="B538" s="4">
        <v>54</v>
      </c>
      <c r="C538" s="5">
        <v>0.98</v>
      </c>
      <c r="D538" s="4">
        <v>13</v>
      </c>
      <c r="E538" s="5">
        <v>0.47</v>
      </c>
      <c r="F538" s="4">
        <v>41</v>
      </c>
      <c r="G538" s="5">
        <v>1.48</v>
      </c>
      <c r="H538" s="4">
        <v>0</v>
      </c>
    </row>
    <row r="539" spans="1:8" x14ac:dyDescent="0.15">
      <c r="A539" s="2" t="s">
        <v>70</v>
      </c>
      <c r="B539" s="4">
        <v>804</v>
      </c>
      <c r="C539" s="5">
        <v>14.53</v>
      </c>
      <c r="D539" s="4">
        <v>462</v>
      </c>
      <c r="E539" s="5">
        <v>16.75</v>
      </c>
      <c r="F539" s="4">
        <v>341</v>
      </c>
      <c r="G539" s="5">
        <v>12.33</v>
      </c>
      <c r="H539" s="4">
        <v>1</v>
      </c>
    </row>
    <row r="540" spans="1:8" x14ac:dyDescent="0.15">
      <c r="A540" s="2" t="s">
        <v>71</v>
      </c>
      <c r="B540" s="4">
        <v>225</v>
      </c>
      <c r="C540" s="5">
        <v>4.07</v>
      </c>
      <c r="D540" s="4">
        <v>108</v>
      </c>
      <c r="E540" s="5">
        <v>3.91</v>
      </c>
      <c r="F540" s="4">
        <v>117</v>
      </c>
      <c r="G540" s="5">
        <v>4.2300000000000004</v>
      </c>
      <c r="H540" s="4">
        <v>0</v>
      </c>
    </row>
    <row r="541" spans="1:8" x14ac:dyDescent="0.15">
      <c r="A541" s="2" t="s">
        <v>72</v>
      </c>
      <c r="B541" s="4">
        <v>721</v>
      </c>
      <c r="C541" s="5">
        <v>13.03</v>
      </c>
      <c r="D541" s="4">
        <v>587</v>
      </c>
      <c r="E541" s="5">
        <v>21.28</v>
      </c>
      <c r="F541" s="4">
        <v>133</v>
      </c>
      <c r="G541" s="5">
        <v>4.8099999999999996</v>
      </c>
      <c r="H541" s="4">
        <v>1</v>
      </c>
    </row>
    <row r="542" spans="1:8" x14ac:dyDescent="0.15">
      <c r="A542" s="2" t="s">
        <v>73</v>
      </c>
      <c r="B542" s="4">
        <v>628</v>
      </c>
      <c r="C542" s="5">
        <v>11.35</v>
      </c>
      <c r="D542" s="4">
        <v>490</v>
      </c>
      <c r="E542" s="5">
        <v>17.760000000000002</v>
      </c>
      <c r="F542" s="4">
        <v>138</v>
      </c>
      <c r="G542" s="5">
        <v>4.99</v>
      </c>
      <c r="H542" s="4">
        <v>0</v>
      </c>
    </row>
    <row r="543" spans="1:8" x14ac:dyDescent="0.15">
      <c r="A543" s="2" t="s">
        <v>74</v>
      </c>
      <c r="B543" s="4">
        <v>198</v>
      </c>
      <c r="C543" s="5">
        <v>3.58</v>
      </c>
      <c r="D543" s="4">
        <v>151</v>
      </c>
      <c r="E543" s="5">
        <v>5.47</v>
      </c>
      <c r="F543" s="4">
        <v>45</v>
      </c>
      <c r="G543" s="5">
        <v>1.63</v>
      </c>
      <c r="H543" s="4">
        <v>2</v>
      </c>
    </row>
    <row r="544" spans="1:8" x14ac:dyDescent="0.15">
      <c r="A544" s="2" t="s">
        <v>75</v>
      </c>
      <c r="B544" s="4">
        <v>245</v>
      </c>
      <c r="C544" s="5">
        <v>4.43</v>
      </c>
      <c r="D544" s="4">
        <v>167</v>
      </c>
      <c r="E544" s="5">
        <v>6.05</v>
      </c>
      <c r="F544" s="4">
        <v>77</v>
      </c>
      <c r="G544" s="5">
        <v>2.78</v>
      </c>
      <c r="H544" s="4">
        <v>1</v>
      </c>
    </row>
    <row r="545" spans="1:8" x14ac:dyDescent="0.15">
      <c r="A545" s="2" t="s">
        <v>76</v>
      </c>
      <c r="B545" s="4">
        <v>167</v>
      </c>
      <c r="C545" s="5">
        <v>3.02</v>
      </c>
      <c r="D545" s="4">
        <v>50</v>
      </c>
      <c r="E545" s="5">
        <v>1.81</v>
      </c>
      <c r="F545" s="4">
        <v>115</v>
      </c>
      <c r="G545" s="5">
        <v>4.16</v>
      </c>
      <c r="H545" s="4">
        <v>2</v>
      </c>
    </row>
    <row r="546" spans="1:8" x14ac:dyDescent="0.15">
      <c r="A546" s="1" t="s">
        <v>34</v>
      </c>
      <c r="B546" s="4">
        <v>4325</v>
      </c>
      <c r="C546" s="5">
        <v>100.02</v>
      </c>
      <c r="D546" s="4">
        <v>2259</v>
      </c>
      <c r="E546" s="5">
        <v>99.980000000000018</v>
      </c>
      <c r="F546" s="4">
        <v>2062</v>
      </c>
      <c r="G546" s="5">
        <v>99.990000000000009</v>
      </c>
      <c r="H546" s="4">
        <v>4</v>
      </c>
    </row>
    <row r="547" spans="1:8" x14ac:dyDescent="0.15">
      <c r="A547" s="2" t="s">
        <v>62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63</v>
      </c>
      <c r="B548" s="4">
        <v>376</v>
      </c>
      <c r="C548" s="5">
        <v>8.69</v>
      </c>
      <c r="D548" s="4">
        <v>98</v>
      </c>
      <c r="E548" s="5">
        <v>4.34</v>
      </c>
      <c r="F548" s="4">
        <v>277</v>
      </c>
      <c r="G548" s="5">
        <v>13.43</v>
      </c>
      <c r="H548" s="4">
        <v>1</v>
      </c>
    </row>
    <row r="549" spans="1:8" x14ac:dyDescent="0.15">
      <c r="A549" s="2" t="s">
        <v>64</v>
      </c>
      <c r="B549" s="4">
        <v>130</v>
      </c>
      <c r="C549" s="5">
        <v>3.01</v>
      </c>
      <c r="D549" s="4">
        <v>36</v>
      </c>
      <c r="E549" s="5">
        <v>1.59</v>
      </c>
      <c r="F549" s="4">
        <v>94</v>
      </c>
      <c r="G549" s="5">
        <v>4.5599999999999996</v>
      </c>
      <c r="H549" s="4">
        <v>0</v>
      </c>
    </row>
    <row r="550" spans="1:8" x14ac:dyDescent="0.15">
      <c r="A550" s="2" t="s">
        <v>65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66</v>
      </c>
      <c r="B551" s="4">
        <v>80</v>
      </c>
      <c r="C551" s="5">
        <v>1.85</v>
      </c>
      <c r="D551" s="4">
        <v>2</v>
      </c>
      <c r="E551" s="5">
        <v>0.09</v>
      </c>
      <c r="F551" s="4">
        <v>77</v>
      </c>
      <c r="G551" s="5">
        <v>3.73</v>
      </c>
      <c r="H551" s="4">
        <v>1</v>
      </c>
    </row>
    <row r="552" spans="1:8" x14ac:dyDescent="0.15">
      <c r="A552" s="2" t="s">
        <v>67</v>
      </c>
      <c r="B552" s="4">
        <v>25</v>
      </c>
      <c r="C552" s="5">
        <v>0.57999999999999996</v>
      </c>
      <c r="D552" s="4">
        <v>1</v>
      </c>
      <c r="E552" s="5">
        <v>0.04</v>
      </c>
      <c r="F552" s="4">
        <v>24</v>
      </c>
      <c r="G552" s="5">
        <v>1.1599999999999999</v>
      </c>
      <c r="H552" s="4">
        <v>0</v>
      </c>
    </row>
    <row r="553" spans="1:8" x14ac:dyDescent="0.15">
      <c r="A553" s="2" t="s">
        <v>68</v>
      </c>
      <c r="B553" s="4">
        <v>1233</v>
      </c>
      <c r="C553" s="5">
        <v>28.51</v>
      </c>
      <c r="D553" s="4">
        <v>569</v>
      </c>
      <c r="E553" s="5">
        <v>25.19</v>
      </c>
      <c r="F553" s="4">
        <v>664</v>
      </c>
      <c r="G553" s="5">
        <v>32.200000000000003</v>
      </c>
      <c r="H553" s="4">
        <v>0</v>
      </c>
    </row>
    <row r="554" spans="1:8" x14ac:dyDescent="0.15">
      <c r="A554" s="2" t="s">
        <v>69</v>
      </c>
      <c r="B554" s="4">
        <v>21</v>
      </c>
      <c r="C554" s="5">
        <v>0.49</v>
      </c>
      <c r="D554" s="4">
        <v>3</v>
      </c>
      <c r="E554" s="5">
        <v>0.13</v>
      </c>
      <c r="F554" s="4">
        <v>18</v>
      </c>
      <c r="G554" s="5">
        <v>0.87</v>
      </c>
      <c r="H554" s="4">
        <v>0</v>
      </c>
    </row>
    <row r="555" spans="1:8" x14ac:dyDescent="0.15">
      <c r="A555" s="2" t="s">
        <v>70</v>
      </c>
      <c r="B555" s="4">
        <v>618</v>
      </c>
      <c r="C555" s="5">
        <v>14.29</v>
      </c>
      <c r="D555" s="4">
        <v>316</v>
      </c>
      <c r="E555" s="5">
        <v>13.99</v>
      </c>
      <c r="F555" s="4">
        <v>302</v>
      </c>
      <c r="G555" s="5">
        <v>14.65</v>
      </c>
      <c r="H555" s="4">
        <v>0</v>
      </c>
    </row>
    <row r="556" spans="1:8" x14ac:dyDescent="0.15">
      <c r="A556" s="2" t="s">
        <v>71</v>
      </c>
      <c r="B556" s="4">
        <v>277</v>
      </c>
      <c r="C556" s="5">
        <v>6.4</v>
      </c>
      <c r="D556" s="4">
        <v>107</v>
      </c>
      <c r="E556" s="5">
        <v>4.74</v>
      </c>
      <c r="F556" s="4">
        <v>168</v>
      </c>
      <c r="G556" s="5">
        <v>8.15</v>
      </c>
      <c r="H556" s="4">
        <v>2</v>
      </c>
    </row>
    <row r="557" spans="1:8" x14ac:dyDescent="0.15">
      <c r="A557" s="2" t="s">
        <v>72</v>
      </c>
      <c r="B557" s="4">
        <v>678</v>
      </c>
      <c r="C557" s="5">
        <v>15.68</v>
      </c>
      <c r="D557" s="4">
        <v>526</v>
      </c>
      <c r="E557" s="5">
        <v>23.28</v>
      </c>
      <c r="F557" s="4">
        <v>152</v>
      </c>
      <c r="G557" s="5">
        <v>7.37</v>
      </c>
      <c r="H557" s="4">
        <v>0</v>
      </c>
    </row>
    <row r="558" spans="1:8" x14ac:dyDescent="0.15">
      <c r="A558" s="2" t="s">
        <v>73</v>
      </c>
      <c r="B558" s="4">
        <v>396</v>
      </c>
      <c r="C558" s="5">
        <v>9.16</v>
      </c>
      <c r="D558" s="4">
        <v>272</v>
      </c>
      <c r="E558" s="5">
        <v>12.04</v>
      </c>
      <c r="F558" s="4">
        <v>124</v>
      </c>
      <c r="G558" s="5">
        <v>6.01</v>
      </c>
      <c r="H558" s="4">
        <v>0</v>
      </c>
    </row>
    <row r="559" spans="1:8" x14ac:dyDescent="0.15">
      <c r="A559" s="2" t="s">
        <v>74</v>
      </c>
      <c r="B559" s="4">
        <v>198</v>
      </c>
      <c r="C559" s="5">
        <v>4.58</v>
      </c>
      <c r="D559" s="4">
        <v>144</v>
      </c>
      <c r="E559" s="5">
        <v>6.37</v>
      </c>
      <c r="F559" s="4">
        <v>54</v>
      </c>
      <c r="G559" s="5">
        <v>2.62</v>
      </c>
      <c r="H559" s="4">
        <v>0</v>
      </c>
    </row>
    <row r="560" spans="1:8" x14ac:dyDescent="0.15">
      <c r="A560" s="2" t="s">
        <v>75</v>
      </c>
      <c r="B560" s="4">
        <v>185</v>
      </c>
      <c r="C560" s="5">
        <v>4.28</v>
      </c>
      <c r="D560" s="4">
        <v>144</v>
      </c>
      <c r="E560" s="5">
        <v>6.37</v>
      </c>
      <c r="F560" s="4">
        <v>41</v>
      </c>
      <c r="G560" s="5">
        <v>1.99</v>
      </c>
      <c r="H560" s="4">
        <v>0</v>
      </c>
    </row>
    <row r="561" spans="1:8" x14ac:dyDescent="0.15">
      <c r="A561" s="2" t="s">
        <v>76</v>
      </c>
      <c r="B561" s="4">
        <v>108</v>
      </c>
      <c r="C561" s="5">
        <v>2.5</v>
      </c>
      <c r="D561" s="4">
        <v>41</v>
      </c>
      <c r="E561" s="5">
        <v>1.81</v>
      </c>
      <c r="F561" s="4">
        <v>67</v>
      </c>
      <c r="G561" s="5">
        <v>3.25</v>
      </c>
      <c r="H561" s="4">
        <v>0</v>
      </c>
    </row>
    <row r="562" spans="1:8" x14ac:dyDescent="0.15">
      <c r="A562" s="1" t="s">
        <v>35</v>
      </c>
      <c r="B562" s="4">
        <v>7116</v>
      </c>
      <c r="C562" s="5">
        <v>100.01000000000002</v>
      </c>
      <c r="D562" s="4">
        <v>3379</v>
      </c>
      <c r="E562" s="5">
        <v>100.00999999999999</v>
      </c>
      <c r="F562" s="4">
        <v>3732</v>
      </c>
      <c r="G562" s="5">
        <v>99.97999999999999</v>
      </c>
      <c r="H562" s="4">
        <v>5</v>
      </c>
    </row>
    <row r="563" spans="1:8" x14ac:dyDescent="0.15">
      <c r="A563" s="2" t="s">
        <v>62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63</v>
      </c>
      <c r="B564" s="4">
        <v>934</v>
      </c>
      <c r="C564" s="5">
        <v>13.13</v>
      </c>
      <c r="D564" s="4">
        <v>165</v>
      </c>
      <c r="E564" s="5">
        <v>4.88</v>
      </c>
      <c r="F564" s="4">
        <v>769</v>
      </c>
      <c r="G564" s="5">
        <v>20.61</v>
      </c>
      <c r="H564" s="4">
        <v>0</v>
      </c>
    </row>
    <row r="565" spans="1:8" x14ac:dyDescent="0.15">
      <c r="A565" s="2" t="s">
        <v>64</v>
      </c>
      <c r="B565" s="4">
        <v>445</v>
      </c>
      <c r="C565" s="5">
        <v>6.25</v>
      </c>
      <c r="D565" s="4">
        <v>99</v>
      </c>
      <c r="E565" s="5">
        <v>2.93</v>
      </c>
      <c r="F565" s="4">
        <v>346</v>
      </c>
      <c r="G565" s="5">
        <v>9.27</v>
      </c>
      <c r="H565" s="4">
        <v>0</v>
      </c>
    </row>
    <row r="566" spans="1:8" x14ac:dyDescent="0.15">
      <c r="A566" s="2" t="s">
        <v>65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66</v>
      </c>
      <c r="B567" s="4">
        <v>67</v>
      </c>
      <c r="C567" s="5">
        <v>0.94</v>
      </c>
      <c r="D567" s="4">
        <v>6</v>
      </c>
      <c r="E567" s="5">
        <v>0.18</v>
      </c>
      <c r="F567" s="4">
        <v>61</v>
      </c>
      <c r="G567" s="5">
        <v>1.63</v>
      </c>
      <c r="H567" s="4">
        <v>0</v>
      </c>
    </row>
    <row r="568" spans="1:8" x14ac:dyDescent="0.15">
      <c r="A568" s="2" t="s">
        <v>67</v>
      </c>
      <c r="B568" s="4">
        <v>44</v>
      </c>
      <c r="C568" s="5">
        <v>0.62</v>
      </c>
      <c r="D568" s="4">
        <v>8</v>
      </c>
      <c r="E568" s="5">
        <v>0.24</v>
      </c>
      <c r="F568" s="4">
        <v>36</v>
      </c>
      <c r="G568" s="5">
        <v>0.96</v>
      </c>
      <c r="H568" s="4">
        <v>0</v>
      </c>
    </row>
    <row r="569" spans="1:8" x14ac:dyDescent="0.15">
      <c r="A569" s="2" t="s">
        <v>68</v>
      </c>
      <c r="B569" s="4">
        <v>1577</v>
      </c>
      <c r="C569" s="5">
        <v>22.16</v>
      </c>
      <c r="D569" s="4">
        <v>601</v>
      </c>
      <c r="E569" s="5">
        <v>17.79</v>
      </c>
      <c r="F569" s="4">
        <v>976</v>
      </c>
      <c r="G569" s="5">
        <v>26.15</v>
      </c>
      <c r="H569" s="4">
        <v>0</v>
      </c>
    </row>
    <row r="570" spans="1:8" x14ac:dyDescent="0.15">
      <c r="A570" s="2" t="s">
        <v>69</v>
      </c>
      <c r="B570" s="4">
        <v>36</v>
      </c>
      <c r="C570" s="5">
        <v>0.51</v>
      </c>
      <c r="D570" s="4">
        <v>2</v>
      </c>
      <c r="E570" s="5">
        <v>0.06</v>
      </c>
      <c r="F570" s="4">
        <v>34</v>
      </c>
      <c r="G570" s="5">
        <v>0.91</v>
      </c>
      <c r="H570" s="4">
        <v>0</v>
      </c>
    </row>
    <row r="571" spans="1:8" x14ac:dyDescent="0.15">
      <c r="A571" s="2" t="s">
        <v>70</v>
      </c>
      <c r="B571" s="4">
        <v>937</v>
      </c>
      <c r="C571" s="5">
        <v>13.17</v>
      </c>
      <c r="D571" s="4">
        <v>438</v>
      </c>
      <c r="E571" s="5">
        <v>12.96</v>
      </c>
      <c r="F571" s="4">
        <v>496</v>
      </c>
      <c r="G571" s="5">
        <v>13.29</v>
      </c>
      <c r="H571" s="4">
        <v>3</v>
      </c>
    </row>
    <row r="572" spans="1:8" x14ac:dyDescent="0.15">
      <c r="A572" s="2" t="s">
        <v>71</v>
      </c>
      <c r="B572" s="4">
        <v>348</v>
      </c>
      <c r="C572" s="5">
        <v>4.8899999999999997</v>
      </c>
      <c r="D572" s="4">
        <v>182</v>
      </c>
      <c r="E572" s="5">
        <v>5.39</v>
      </c>
      <c r="F572" s="4">
        <v>166</v>
      </c>
      <c r="G572" s="5">
        <v>4.45</v>
      </c>
      <c r="H572" s="4">
        <v>0</v>
      </c>
    </row>
    <row r="573" spans="1:8" x14ac:dyDescent="0.15">
      <c r="A573" s="2" t="s">
        <v>72</v>
      </c>
      <c r="B573" s="4">
        <v>912</v>
      </c>
      <c r="C573" s="5">
        <v>12.82</v>
      </c>
      <c r="D573" s="4">
        <v>694</v>
      </c>
      <c r="E573" s="5">
        <v>20.54</v>
      </c>
      <c r="F573" s="4">
        <v>218</v>
      </c>
      <c r="G573" s="5">
        <v>5.84</v>
      </c>
      <c r="H573" s="4">
        <v>0</v>
      </c>
    </row>
    <row r="574" spans="1:8" x14ac:dyDescent="0.15">
      <c r="A574" s="2" t="s">
        <v>73</v>
      </c>
      <c r="B574" s="4">
        <v>869</v>
      </c>
      <c r="C574" s="5">
        <v>12.21</v>
      </c>
      <c r="D574" s="4">
        <v>608</v>
      </c>
      <c r="E574" s="5">
        <v>17.989999999999998</v>
      </c>
      <c r="F574" s="4">
        <v>261</v>
      </c>
      <c r="G574" s="5">
        <v>6.99</v>
      </c>
      <c r="H574" s="4">
        <v>0</v>
      </c>
    </row>
    <row r="575" spans="1:8" x14ac:dyDescent="0.15">
      <c r="A575" s="2" t="s">
        <v>74</v>
      </c>
      <c r="B575" s="4">
        <v>303</v>
      </c>
      <c r="C575" s="5">
        <v>4.26</v>
      </c>
      <c r="D575" s="4">
        <v>197</v>
      </c>
      <c r="E575" s="5">
        <v>5.83</v>
      </c>
      <c r="F575" s="4">
        <v>105</v>
      </c>
      <c r="G575" s="5">
        <v>2.81</v>
      </c>
      <c r="H575" s="4">
        <v>1</v>
      </c>
    </row>
    <row r="576" spans="1:8" x14ac:dyDescent="0.15">
      <c r="A576" s="2" t="s">
        <v>75</v>
      </c>
      <c r="B576" s="4">
        <v>444</v>
      </c>
      <c r="C576" s="5">
        <v>6.24</v>
      </c>
      <c r="D576" s="4">
        <v>319</v>
      </c>
      <c r="E576" s="5">
        <v>9.44</v>
      </c>
      <c r="F576" s="4">
        <v>124</v>
      </c>
      <c r="G576" s="5">
        <v>3.32</v>
      </c>
      <c r="H576" s="4">
        <v>1</v>
      </c>
    </row>
    <row r="577" spans="1:8" x14ac:dyDescent="0.15">
      <c r="A577" s="2" t="s">
        <v>76</v>
      </c>
      <c r="B577" s="4">
        <v>200</v>
      </c>
      <c r="C577" s="5">
        <v>2.81</v>
      </c>
      <c r="D577" s="4">
        <v>60</v>
      </c>
      <c r="E577" s="5">
        <v>1.78</v>
      </c>
      <c r="F577" s="4">
        <v>140</v>
      </c>
      <c r="G577" s="5">
        <v>3.75</v>
      </c>
      <c r="H577" s="4">
        <v>0</v>
      </c>
    </row>
    <row r="578" spans="1:8" x14ac:dyDescent="0.15">
      <c r="A578" s="1" t="s">
        <v>36</v>
      </c>
      <c r="B578" s="4">
        <v>4418</v>
      </c>
      <c r="C578" s="5">
        <v>100.01000000000002</v>
      </c>
      <c r="D578" s="4">
        <v>2238</v>
      </c>
      <c r="E578" s="5">
        <v>99.98</v>
      </c>
      <c r="F578" s="4">
        <v>2180</v>
      </c>
      <c r="G578" s="5">
        <v>100.01</v>
      </c>
      <c r="H578" s="4">
        <v>0</v>
      </c>
    </row>
    <row r="579" spans="1:8" x14ac:dyDescent="0.15">
      <c r="A579" s="2" t="s">
        <v>62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63</v>
      </c>
      <c r="B580" s="4">
        <v>603</v>
      </c>
      <c r="C580" s="5">
        <v>13.65</v>
      </c>
      <c r="D580" s="4">
        <v>141</v>
      </c>
      <c r="E580" s="5">
        <v>6.3</v>
      </c>
      <c r="F580" s="4">
        <v>462</v>
      </c>
      <c r="G580" s="5">
        <v>21.19</v>
      </c>
      <c r="H580" s="4">
        <v>0</v>
      </c>
    </row>
    <row r="581" spans="1:8" x14ac:dyDescent="0.15">
      <c r="A581" s="2" t="s">
        <v>64</v>
      </c>
      <c r="B581" s="4">
        <v>346</v>
      </c>
      <c r="C581" s="5">
        <v>7.83</v>
      </c>
      <c r="D581" s="4">
        <v>118</v>
      </c>
      <c r="E581" s="5">
        <v>5.27</v>
      </c>
      <c r="F581" s="4">
        <v>228</v>
      </c>
      <c r="G581" s="5">
        <v>10.46</v>
      </c>
      <c r="H581" s="4">
        <v>0</v>
      </c>
    </row>
    <row r="582" spans="1:8" x14ac:dyDescent="0.15">
      <c r="A582" s="2" t="s">
        <v>65</v>
      </c>
      <c r="B582" s="4">
        <v>1</v>
      </c>
      <c r="C582" s="5">
        <v>0.02</v>
      </c>
      <c r="D582" s="4">
        <v>0</v>
      </c>
      <c r="E582" s="5">
        <v>0</v>
      </c>
      <c r="F582" s="4">
        <v>1</v>
      </c>
      <c r="G582" s="5">
        <v>0.05</v>
      </c>
      <c r="H582" s="4">
        <v>0</v>
      </c>
    </row>
    <row r="583" spans="1:8" x14ac:dyDescent="0.15">
      <c r="A583" s="2" t="s">
        <v>66</v>
      </c>
      <c r="B583" s="4">
        <v>30</v>
      </c>
      <c r="C583" s="5">
        <v>0.68</v>
      </c>
      <c r="D583" s="4">
        <v>0</v>
      </c>
      <c r="E583" s="5">
        <v>0</v>
      </c>
      <c r="F583" s="4">
        <v>30</v>
      </c>
      <c r="G583" s="5">
        <v>1.38</v>
      </c>
      <c r="H583" s="4">
        <v>0</v>
      </c>
    </row>
    <row r="584" spans="1:8" x14ac:dyDescent="0.15">
      <c r="A584" s="2" t="s">
        <v>67</v>
      </c>
      <c r="B584" s="4">
        <v>33</v>
      </c>
      <c r="C584" s="5">
        <v>0.75</v>
      </c>
      <c r="D584" s="4">
        <v>1</v>
      </c>
      <c r="E584" s="5">
        <v>0.04</v>
      </c>
      <c r="F584" s="4">
        <v>32</v>
      </c>
      <c r="G584" s="5">
        <v>1.47</v>
      </c>
      <c r="H584" s="4">
        <v>0</v>
      </c>
    </row>
    <row r="585" spans="1:8" x14ac:dyDescent="0.15">
      <c r="A585" s="2" t="s">
        <v>68</v>
      </c>
      <c r="B585" s="4">
        <v>1162</v>
      </c>
      <c r="C585" s="5">
        <v>26.3</v>
      </c>
      <c r="D585" s="4">
        <v>511</v>
      </c>
      <c r="E585" s="5">
        <v>22.83</v>
      </c>
      <c r="F585" s="4">
        <v>651</v>
      </c>
      <c r="G585" s="5">
        <v>29.86</v>
      </c>
      <c r="H585" s="4">
        <v>0</v>
      </c>
    </row>
    <row r="586" spans="1:8" x14ac:dyDescent="0.15">
      <c r="A586" s="2" t="s">
        <v>69</v>
      </c>
      <c r="B586" s="4">
        <v>33</v>
      </c>
      <c r="C586" s="5">
        <v>0.75</v>
      </c>
      <c r="D586" s="4">
        <v>4</v>
      </c>
      <c r="E586" s="5">
        <v>0.18</v>
      </c>
      <c r="F586" s="4">
        <v>29</v>
      </c>
      <c r="G586" s="5">
        <v>1.33</v>
      </c>
      <c r="H586" s="4">
        <v>0</v>
      </c>
    </row>
    <row r="587" spans="1:8" x14ac:dyDescent="0.15">
      <c r="A587" s="2" t="s">
        <v>70</v>
      </c>
      <c r="B587" s="4">
        <v>410</v>
      </c>
      <c r="C587" s="5">
        <v>9.2799999999999994</v>
      </c>
      <c r="D587" s="4">
        <v>150</v>
      </c>
      <c r="E587" s="5">
        <v>6.7</v>
      </c>
      <c r="F587" s="4">
        <v>260</v>
      </c>
      <c r="G587" s="5">
        <v>11.93</v>
      </c>
      <c r="H587" s="4">
        <v>0</v>
      </c>
    </row>
    <row r="588" spans="1:8" x14ac:dyDescent="0.15">
      <c r="A588" s="2" t="s">
        <v>71</v>
      </c>
      <c r="B588" s="4">
        <v>216</v>
      </c>
      <c r="C588" s="5">
        <v>4.8899999999999997</v>
      </c>
      <c r="D588" s="4">
        <v>134</v>
      </c>
      <c r="E588" s="5">
        <v>5.99</v>
      </c>
      <c r="F588" s="4">
        <v>82</v>
      </c>
      <c r="G588" s="5">
        <v>3.76</v>
      </c>
      <c r="H588" s="4">
        <v>0</v>
      </c>
    </row>
    <row r="589" spans="1:8" x14ac:dyDescent="0.15">
      <c r="A589" s="2" t="s">
        <v>72</v>
      </c>
      <c r="B589" s="4">
        <v>555</v>
      </c>
      <c r="C589" s="5">
        <v>12.56</v>
      </c>
      <c r="D589" s="4">
        <v>460</v>
      </c>
      <c r="E589" s="5">
        <v>20.55</v>
      </c>
      <c r="F589" s="4">
        <v>95</v>
      </c>
      <c r="G589" s="5">
        <v>4.3600000000000003</v>
      </c>
      <c r="H589" s="4">
        <v>0</v>
      </c>
    </row>
    <row r="590" spans="1:8" x14ac:dyDescent="0.15">
      <c r="A590" s="2" t="s">
        <v>73</v>
      </c>
      <c r="B590" s="4">
        <v>545</v>
      </c>
      <c r="C590" s="5">
        <v>12.34</v>
      </c>
      <c r="D590" s="4">
        <v>436</v>
      </c>
      <c r="E590" s="5">
        <v>19.48</v>
      </c>
      <c r="F590" s="4">
        <v>109</v>
      </c>
      <c r="G590" s="5">
        <v>5</v>
      </c>
      <c r="H590" s="4">
        <v>0</v>
      </c>
    </row>
    <row r="591" spans="1:8" x14ac:dyDescent="0.15">
      <c r="A591" s="2" t="s">
        <v>74</v>
      </c>
      <c r="B591" s="4">
        <v>166</v>
      </c>
      <c r="C591" s="5">
        <v>3.76</v>
      </c>
      <c r="D591" s="4">
        <v>113</v>
      </c>
      <c r="E591" s="5">
        <v>5.05</v>
      </c>
      <c r="F591" s="4">
        <v>53</v>
      </c>
      <c r="G591" s="5">
        <v>2.4300000000000002</v>
      </c>
      <c r="H591" s="4">
        <v>0</v>
      </c>
    </row>
    <row r="592" spans="1:8" x14ac:dyDescent="0.15">
      <c r="A592" s="2" t="s">
        <v>75</v>
      </c>
      <c r="B592" s="4">
        <v>193</v>
      </c>
      <c r="C592" s="5">
        <v>4.37</v>
      </c>
      <c r="D592" s="4">
        <v>127</v>
      </c>
      <c r="E592" s="5">
        <v>5.67</v>
      </c>
      <c r="F592" s="4">
        <v>66</v>
      </c>
      <c r="G592" s="5">
        <v>3.03</v>
      </c>
      <c r="H592" s="4">
        <v>0</v>
      </c>
    </row>
    <row r="593" spans="1:8" x14ac:dyDescent="0.15">
      <c r="A593" s="2" t="s">
        <v>76</v>
      </c>
      <c r="B593" s="4">
        <v>125</v>
      </c>
      <c r="C593" s="5">
        <v>2.83</v>
      </c>
      <c r="D593" s="4">
        <v>43</v>
      </c>
      <c r="E593" s="5">
        <v>1.92</v>
      </c>
      <c r="F593" s="4">
        <v>82</v>
      </c>
      <c r="G593" s="5">
        <v>3.76</v>
      </c>
      <c r="H593" s="4">
        <v>0</v>
      </c>
    </row>
    <row r="594" spans="1:8" x14ac:dyDescent="0.15">
      <c r="A594" s="1" t="s">
        <v>37</v>
      </c>
      <c r="B594" s="4">
        <v>3976</v>
      </c>
      <c r="C594" s="5">
        <v>100.00999999999998</v>
      </c>
      <c r="D594" s="4">
        <v>2171</v>
      </c>
      <c r="E594" s="5">
        <v>99.990000000000009</v>
      </c>
      <c r="F594" s="4">
        <v>1799</v>
      </c>
      <c r="G594" s="5">
        <v>100.01000000000002</v>
      </c>
      <c r="H594" s="4">
        <v>6</v>
      </c>
    </row>
    <row r="595" spans="1:8" x14ac:dyDescent="0.15">
      <c r="A595" s="2" t="s">
        <v>62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63</v>
      </c>
      <c r="B596" s="4">
        <v>554</v>
      </c>
      <c r="C596" s="5">
        <v>13.93</v>
      </c>
      <c r="D596" s="4">
        <v>119</v>
      </c>
      <c r="E596" s="5">
        <v>5.48</v>
      </c>
      <c r="F596" s="4">
        <v>435</v>
      </c>
      <c r="G596" s="5">
        <v>24.18</v>
      </c>
      <c r="H596" s="4">
        <v>0</v>
      </c>
    </row>
    <row r="597" spans="1:8" x14ac:dyDescent="0.15">
      <c r="A597" s="2" t="s">
        <v>64</v>
      </c>
      <c r="B597" s="4">
        <v>184</v>
      </c>
      <c r="C597" s="5">
        <v>4.63</v>
      </c>
      <c r="D597" s="4">
        <v>52</v>
      </c>
      <c r="E597" s="5">
        <v>2.4</v>
      </c>
      <c r="F597" s="4">
        <v>132</v>
      </c>
      <c r="G597" s="5">
        <v>7.34</v>
      </c>
      <c r="H597" s="4">
        <v>0</v>
      </c>
    </row>
    <row r="598" spans="1:8" x14ac:dyDescent="0.15">
      <c r="A598" s="2" t="s">
        <v>65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66</v>
      </c>
      <c r="B599" s="4">
        <v>42</v>
      </c>
      <c r="C599" s="5">
        <v>1.06</v>
      </c>
      <c r="D599" s="4">
        <v>2</v>
      </c>
      <c r="E599" s="5">
        <v>0.09</v>
      </c>
      <c r="F599" s="4">
        <v>40</v>
      </c>
      <c r="G599" s="5">
        <v>2.2200000000000002</v>
      </c>
      <c r="H599" s="4">
        <v>0</v>
      </c>
    </row>
    <row r="600" spans="1:8" x14ac:dyDescent="0.15">
      <c r="A600" s="2" t="s">
        <v>67</v>
      </c>
      <c r="B600" s="4">
        <v>24</v>
      </c>
      <c r="C600" s="5">
        <v>0.6</v>
      </c>
      <c r="D600" s="4">
        <v>5</v>
      </c>
      <c r="E600" s="5">
        <v>0.23</v>
      </c>
      <c r="F600" s="4">
        <v>19</v>
      </c>
      <c r="G600" s="5">
        <v>1.06</v>
      </c>
      <c r="H600" s="4">
        <v>0</v>
      </c>
    </row>
    <row r="601" spans="1:8" x14ac:dyDescent="0.15">
      <c r="A601" s="2" t="s">
        <v>68</v>
      </c>
      <c r="B601" s="4">
        <v>811</v>
      </c>
      <c r="C601" s="5">
        <v>20.399999999999999</v>
      </c>
      <c r="D601" s="4">
        <v>375</v>
      </c>
      <c r="E601" s="5">
        <v>17.27</v>
      </c>
      <c r="F601" s="4">
        <v>435</v>
      </c>
      <c r="G601" s="5">
        <v>24.18</v>
      </c>
      <c r="H601" s="4">
        <v>1</v>
      </c>
    </row>
    <row r="602" spans="1:8" x14ac:dyDescent="0.15">
      <c r="A602" s="2" t="s">
        <v>69</v>
      </c>
      <c r="B602" s="4">
        <v>23</v>
      </c>
      <c r="C602" s="5">
        <v>0.57999999999999996</v>
      </c>
      <c r="D602" s="4">
        <v>4</v>
      </c>
      <c r="E602" s="5">
        <v>0.18</v>
      </c>
      <c r="F602" s="4">
        <v>19</v>
      </c>
      <c r="G602" s="5">
        <v>1.06</v>
      </c>
      <c r="H602" s="4">
        <v>0</v>
      </c>
    </row>
    <row r="603" spans="1:8" x14ac:dyDescent="0.15">
      <c r="A603" s="2" t="s">
        <v>70</v>
      </c>
      <c r="B603" s="4">
        <v>594</v>
      </c>
      <c r="C603" s="5">
        <v>14.94</v>
      </c>
      <c r="D603" s="4">
        <v>376</v>
      </c>
      <c r="E603" s="5">
        <v>17.32</v>
      </c>
      <c r="F603" s="4">
        <v>218</v>
      </c>
      <c r="G603" s="5">
        <v>12.12</v>
      </c>
      <c r="H603" s="4">
        <v>0</v>
      </c>
    </row>
    <row r="604" spans="1:8" x14ac:dyDescent="0.15">
      <c r="A604" s="2" t="s">
        <v>71</v>
      </c>
      <c r="B604" s="4">
        <v>197</v>
      </c>
      <c r="C604" s="5">
        <v>4.95</v>
      </c>
      <c r="D604" s="4">
        <v>84</v>
      </c>
      <c r="E604" s="5">
        <v>3.87</v>
      </c>
      <c r="F604" s="4">
        <v>113</v>
      </c>
      <c r="G604" s="5">
        <v>6.28</v>
      </c>
      <c r="H604" s="4">
        <v>0</v>
      </c>
    </row>
    <row r="605" spans="1:8" x14ac:dyDescent="0.15">
      <c r="A605" s="2" t="s">
        <v>72</v>
      </c>
      <c r="B605" s="4">
        <v>518</v>
      </c>
      <c r="C605" s="5">
        <v>13.03</v>
      </c>
      <c r="D605" s="4">
        <v>433</v>
      </c>
      <c r="E605" s="5">
        <v>19.940000000000001</v>
      </c>
      <c r="F605" s="4">
        <v>84</v>
      </c>
      <c r="G605" s="5">
        <v>4.67</v>
      </c>
      <c r="H605" s="4">
        <v>1</v>
      </c>
    </row>
    <row r="606" spans="1:8" x14ac:dyDescent="0.15">
      <c r="A606" s="2" t="s">
        <v>73</v>
      </c>
      <c r="B606" s="4">
        <v>510</v>
      </c>
      <c r="C606" s="5">
        <v>12.83</v>
      </c>
      <c r="D606" s="4">
        <v>391</v>
      </c>
      <c r="E606" s="5">
        <v>18.010000000000002</v>
      </c>
      <c r="F606" s="4">
        <v>118</v>
      </c>
      <c r="G606" s="5">
        <v>6.56</v>
      </c>
      <c r="H606" s="4">
        <v>1</v>
      </c>
    </row>
    <row r="607" spans="1:8" x14ac:dyDescent="0.15">
      <c r="A607" s="2" t="s">
        <v>74</v>
      </c>
      <c r="B607" s="4">
        <v>184</v>
      </c>
      <c r="C607" s="5">
        <v>4.63</v>
      </c>
      <c r="D607" s="4">
        <v>135</v>
      </c>
      <c r="E607" s="5">
        <v>6.22</v>
      </c>
      <c r="F607" s="4">
        <v>48</v>
      </c>
      <c r="G607" s="5">
        <v>2.67</v>
      </c>
      <c r="H607" s="4">
        <v>1</v>
      </c>
    </row>
    <row r="608" spans="1:8" x14ac:dyDescent="0.15">
      <c r="A608" s="2" t="s">
        <v>75</v>
      </c>
      <c r="B608" s="4">
        <v>248</v>
      </c>
      <c r="C608" s="5">
        <v>6.24</v>
      </c>
      <c r="D608" s="4">
        <v>172</v>
      </c>
      <c r="E608" s="5">
        <v>7.92</v>
      </c>
      <c r="F608" s="4">
        <v>74</v>
      </c>
      <c r="G608" s="5">
        <v>4.1100000000000003</v>
      </c>
      <c r="H608" s="4">
        <v>2</v>
      </c>
    </row>
    <row r="609" spans="1:8" x14ac:dyDescent="0.15">
      <c r="A609" s="2" t="s">
        <v>76</v>
      </c>
      <c r="B609" s="4">
        <v>87</v>
      </c>
      <c r="C609" s="5">
        <v>2.19</v>
      </c>
      <c r="D609" s="4">
        <v>23</v>
      </c>
      <c r="E609" s="5">
        <v>1.06</v>
      </c>
      <c r="F609" s="4">
        <v>64</v>
      </c>
      <c r="G609" s="5">
        <v>3.56</v>
      </c>
      <c r="H609" s="4">
        <v>0</v>
      </c>
    </row>
    <row r="610" spans="1:8" x14ac:dyDescent="0.15">
      <c r="A610" s="1" t="s">
        <v>38</v>
      </c>
      <c r="B610" s="4">
        <v>1134</v>
      </c>
      <c r="C610" s="5">
        <v>99.97999999999999</v>
      </c>
      <c r="D610" s="4">
        <v>620</v>
      </c>
      <c r="E610" s="5">
        <v>99.980000000000018</v>
      </c>
      <c r="F610" s="4">
        <v>512</v>
      </c>
      <c r="G610" s="5">
        <v>99.999999999999986</v>
      </c>
      <c r="H610" s="4">
        <v>2</v>
      </c>
    </row>
    <row r="611" spans="1:8" x14ac:dyDescent="0.15">
      <c r="A611" s="2" t="s">
        <v>62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15">
      <c r="A612" s="2" t="s">
        <v>63</v>
      </c>
      <c r="B612" s="4">
        <v>120</v>
      </c>
      <c r="C612" s="5">
        <v>10.58</v>
      </c>
      <c r="D612" s="4">
        <v>34</v>
      </c>
      <c r="E612" s="5">
        <v>5.48</v>
      </c>
      <c r="F612" s="4">
        <v>86</v>
      </c>
      <c r="G612" s="5">
        <v>16.8</v>
      </c>
      <c r="H612" s="4">
        <v>0</v>
      </c>
    </row>
    <row r="613" spans="1:8" x14ac:dyDescent="0.15">
      <c r="A613" s="2" t="s">
        <v>64</v>
      </c>
      <c r="B613" s="4">
        <v>40</v>
      </c>
      <c r="C613" s="5">
        <v>3.53</v>
      </c>
      <c r="D613" s="4">
        <v>11</v>
      </c>
      <c r="E613" s="5">
        <v>1.77</v>
      </c>
      <c r="F613" s="4">
        <v>29</v>
      </c>
      <c r="G613" s="5">
        <v>5.66</v>
      </c>
      <c r="H613" s="4">
        <v>0</v>
      </c>
    </row>
    <row r="614" spans="1:8" x14ac:dyDescent="0.15">
      <c r="A614" s="2" t="s">
        <v>65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15">
      <c r="A615" s="2" t="s">
        <v>66</v>
      </c>
      <c r="B615" s="4">
        <v>17</v>
      </c>
      <c r="C615" s="5">
        <v>1.5</v>
      </c>
      <c r="D615" s="4">
        <v>1</v>
      </c>
      <c r="E615" s="5">
        <v>0.16</v>
      </c>
      <c r="F615" s="4">
        <v>16</v>
      </c>
      <c r="G615" s="5">
        <v>3.13</v>
      </c>
      <c r="H615" s="4">
        <v>0</v>
      </c>
    </row>
    <row r="616" spans="1:8" x14ac:dyDescent="0.15">
      <c r="A616" s="2" t="s">
        <v>67</v>
      </c>
      <c r="B616" s="4">
        <v>4</v>
      </c>
      <c r="C616" s="5">
        <v>0.35</v>
      </c>
      <c r="D616" s="4">
        <v>2</v>
      </c>
      <c r="E616" s="5">
        <v>0.32</v>
      </c>
      <c r="F616" s="4">
        <v>2</v>
      </c>
      <c r="G616" s="5">
        <v>0.39</v>
      </c>
      <c r="H616" s="4">
        <v>0</v>
      </c>
    </row>
    <row r="617" spans="1:8" x14ac:dyDescent="0.15">
      <c r="A617" s="2" t="s">
        <v>68</v>
      </c>
      <c r="B617" s="4">
        <v>275</v>
      </c>
      <c r="C617" s="5">
        <v>24.25</v>
      </c>
      <c r="D617" s="4">
        <v>138</v>
      </c>
      <c r="E617" s="5">
        <v>22.26</v>
      </c>
      <c r="F617" s="4">
        <v>137</v>
      </c>
      <c r="G617" s="5">
        <v>26.76</v>
      </c>
      <c r="H617" s="4">
        <v>0</v>
      </c>
    </row>
    <row r="618" spans="1:8" x14ac:dyDescent="0.15">
      <c r="A618" s="2" t="s">
        <v>69</v>
      </c>
      <c r="B618" s="4">
        <v>3</v>
      </c>
      <c r="C618" s="5">
        <v>0.26</v>
      </c>
      <c r="D618" s="4">
        <v>1</v>
      </c>
      <c r="E618" s="5">
        <v>0.16</v>
      </c>
      <c r="F618" s="4">
        <v>2</v>
      </c>
      <c r="G618" s="5">
        <v>0.39</v>
      </c>
      <c r="H618" s="4">
        <v>0</v>
      </c>
    </row>
    <row r="619" spans="1:8" x14ac:dyDescent="0.15">
      <c r="A619" s="2" t="s">
        <v>70</v>
      </c>
      <c r="B619" s="4">
        <v>164</v>
      </c>
      <c r="C619" s="5">
        <v>14.46</v>
      </c>
      <c r="D619" s="4">
        <v>87</v>
      </c>
      <c r="E619" s="5">
        <v>14.03</v>
      </c>
      <c r="F619" s="4">
        <v>76</v>
      </c>
      <c r="G619" s="5">
        <v>14.84</v>
      </c>
      <c r="H619" s="4">
        <v>1</v>
      </c>
    </row>
    <row r="620" spans="1:8" x14ac:dyDescent="0.15">
      <c r="A620" s="2" t="s">
        <v>71</v>
      </c>
      <c r="B620" s="4">
        <v>75</v>
      </c>
      <c r="C620" s="5">
        <v>6.61</v>
      </c>
      <c r="D620" s="4">
        <v>27</v>
      </c>
      <c r="E620" s="5">
        <v>4.3499999999999996</v>
      </c>
      <c r="F620" s="4">
        <v>48</v>
      </c>
      <c r="G620" s="5">
        <v>9.3800000000000008</v>
      </c>
      <c r="H620" s="4">
        <v>0</v>
      </c>
    </row>
    <row r="621" spans="1:8" x14ac:dyDescent="0.15">
      <c r="A621" s="2" t="s">
        <v>72</v>
      </c>
      <c r="B621" s="4">
        <v>124</v>
      </c>
      <c r="C621" s="5">
        <v>10.93</v>
      </c>
      <c r="D621" s="4">
        <v>97</v>
      </c>
      <c r="E621" s="5">
        <v>15.65</v>
      </c>
      <c r="F621" s="4">
        <v>26</v>
      </c>
      <c r="G621" s="5">
        <v>5.08</v>
      </c>
      <c r="H621" s="4">
        <v>1</v>
      </c>
    </row>
    <row r="622" spans="1:8" x14ac:dyDescent="0.15">
      <c r="A622" s="2" t="s">
        <v>73</v>
      </c>
      <c r="B622" s="4">
        <v>151</v>
      </c>
      <c r="C622" s="5">
        <v>13.32</v>
      </c>
      <c r="D622" s="4">
        <v>111</v>
      </c>
      <c r="E622" s="5">
        <v>17.899999999999999</v>
      </c>
      <c r="F622" s="4">
        <v>40</v>
      </c>
      <c r="G622" s="5">
        <v>7.81</v>
      </c>
      <c r="H622" s="4">
        <v>0</v>
      </c>
    </row>
    <row r="623" spans="1:8" x14ac:dyDescent="0.15">
      <c r="A623" s="2" t="s">
        <v>74</v>
      </c>
      <c r="B623" s="4">
        <v>55</v>
      </c>
      <c r="C623" s="5">
        <v>4.8499999999999996</v>
      </c>
      <c r="D623" s="4">
        <v>49</v>
      </c>
      <c r="E623" s="5">
        <v>7.9</v>
      </c>
      <c r="F623" s="4">
        <v>6</v>
      </c>
      <c r="G623" s="5">
        <v>1.17</v>
      </c>
      <c r="H623" s="4">
        <v>0</v>
      </c>
    </row>
    <row r="624" spans="1:8" x14ac:dyDescent="0.15">
      <c r="A624" s="2" t="s">
        <v>75</v>
      </c>
      <c r="B624" s="4">
        <v>80</v>
      </c>
      <c r="C624" s="5">
        <v>7.05</v>
      </c>
      <c r="D624" s="4">
        <v>53</v>
      </c>
      <c r="E624" s="5">
        <v>8.5500000000000007</v>
      </c>
      <c r="F624" s="4">
        <v>27</v>
      </c>
      <c r="G624" s="5">
        <v>5.27</v>
      </c>
      <c r="H624" s="4">
        <v>0</v>
      </c>
    </row>
    <row r="625" spans="1:8" x14ac:dyDescent="0.15">
      <c r="A625" s="2" t="s">
        <v>76</v>
      </c>
      <c r="B625" s="4">
        <v>26</v>
      </c>
      <c r="C625" s="5">
        <v>2.29</v>
      </c>
      <c r="D625" s="4">
        <v>9</v>
      </c>
      <c r="E625" s="5">
        <v>1.45</v>
      </c>
      <c r="F625" s="4">
        <v>17</v>
      </c>
      <c r="G625" s="5">
        <v>3.32</v>
      </c>
      <c r="H625" s="4">
        <v>0</v>
      </c>
    </row>
    <row r="626" spans="1:8" x14ac:dyDescent="0.15">
      <c r="A626" s="1" t="s">
        <v>39</v>
      </c>
      <c r="B626" s="4">
        <v>1152</v>
      </c>
      <c r="C626" s="5">
        <v>100.00999999999999</v>
      </c>
      <c r="D626" s="4">
        <v>681</v>
      </c>
      <c r="E626" s="5">
        <v>100.01</v>
      </c>
      <c r="F626" s="4">
        <v>470</v>
      </c>
      <c r="G626" s="5">
        <v>100.00000000000001</v>
      </c>
      <c r="H626" s="4">
        <v>1</v>
      </c>
    </row>
    <row r="627" spans="1:8" x14ac:dyDescent="0.15">
      <c r="A627" s="2" t="s">
        <v>62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15">
      <c r="A628" s="2" t="s">
        <v>63</v>
      </c>
      <c r="B628" s="4">
        <v>172</v>
      </c>
      <c r="C628" s="5">
        <v>14.93</v>
      </c>
      <c r="D628" s="4">
        <v>80</v>
      </c>
      <c r="E628" s="5">
        <v>11.75</v>
      </c>
      <c r="F628" s="4">
        <v>92</v>
      </c>
      <c r="G628" s="5">
        <v>19.57</v>
      </c>
      <c r="H628" s="4">
        <v>0</v>
      </c>
    </row>
    <row r="629" spans="1:8" x14ac:dyDescent="0.15">
      <c r="A629" s="2" t="s">
        <v>64</v>
      </c>
      <c r="B629" s="4">
        <v>77</v>
      </c>
      <c r="C629" s="5">
        <v>6.68</v>
      </c>
      <c r="D629" s="4">
        <v>30</v>
      </c>
      <c r="E629" s="5">
        <v>4.41</v>
      </c>
      <c r="F629" s="4">
        <v>47</v>
      </c>
      <c r="G629" s="5">
        <v>10</v>
      </c>
      <c r="H629" s="4">
        <v>0</v>
      </c>
    </row>
    <row r="630" spans="1:8" x14ac:dyDescent="0.15">
      <c r="A630" s="2" t="s">
        <v>65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15">
      <c r="A631" s="2" t="s">
        <v>66</v>
      </c>
      <c r="B631" s="4">
        <v>4</v>
      </c>
      <c r="C631" s="5">
        <v>0.35</v>
      </c>
      <c r="D631" s="4">
        <v>1</v>
      </c>
      <c r="E631" s="5">
        <v>0.15</v>
      </c>
      <c r="F631" s="4">
        <v>3</v>
      </c>
      <c r="G631" s="5">
        <v>0.64</v>
      </c>
      <c r="H631" s="4">
        <v>0</v>
      </c>
    </row>
    <row r="632" spans="1:8" x14ac:dyDescent="0.15">
      <c r="A632" s="2" t="s">
        <v>67</v>
      </c>
      <c r="B632" s="4">
        <v>8</v>
      </c>
      <c r="C632" s="5">
        <v>0.69</v>
      </c>
      <c r="D632" s="4">
        <v>3</v>
      </c>
      <c r="E632" s="5">
        <v>0.44</v>
      </c>
      <c r="F632" s="4">
        <v>5</v>
      </c>
      <c r="G632" s="5">
        <v>1.06</v>
      </c>
      <c r="H632" s="4">
        <v>0</v>
      </c>
    </row>
    <row r="633" spans="1:8" x14ac:dyDescent="0.15">
      <c r="A633" s="2" t="s">
        <v>68</v>
      </c>
      <c r="B633" s="4">
        <v>294</v>
      </c>
      <c r="C633" s="5">
        <v>25.52</v>
      </c>
      <c r="D633" s="4">
        <v>127</v>
      </c>
      <c r="E633" s="5">
        <v>18.649999999999999</v>
      </c>
      <c r="F633" s="4">
        <v>167</v>
      </c>
      <c r="G633" s="5">
        <v>35.53</v>
      </c>
      <c r="H633" s="4">
        <v>0</v>
      </c>
    </row>
    <row r="634" spans="1:8" x14ac:dyDescent="0.15">
      <c r="A634" s="2" t="s">
        <v>69</v>
      </c>
      <c r="B634" s="4">
        <v>3</v>
      </c>
      <c r="C634" s="5">
        <v>0.26</v>
      </c>
      <c r="D634" s="4">
        <v>1</v>
      </c>
      <c r="E634" s="5">
        <v>0.15</v>
      </c>
      <c r="F634" s="4">
        <v>2</v>
      </c>
      <c r="G634" s="5">
        <v>0.43</v>
      </c>
      <c r="H634" s="4">
        <v>0</v>
      </c>
    </row>
    <row r="635" spans="1:8" x14ac:dyDescent="0.15">
      <c r="A635" s="2" t="s">
        <v>70</v>
      </c>
      <c r="B635" s="4">
        <v>91</v>
      </c>
      <c r="C635" s="5">
        <v>7.9</v>
      </c>
      <c r="D635" s="4">
        <v>49</v>
      </c>
      <c r="E635" s="5">
        <v>7.2</v>
      </c>
      <c r="F635" s="4">
        <v>42</v>
      </c>
      <c r="G635" s="5">
        <v>8.94</v>
      </c>
      <c r="H635" s="4">
        <v>0</v>
      </c>
    </row>
    <row r="636" spans="1:8" x14ac:dyDescent="0.15">
      <c r="A636" s="2" t="s">
        <v>71</v>
      </c>
      <c r="B636" s="4">
        <v>26</v>
      </c>
      <c r="C636" s="5">
        <v>2.2599999999999998</v>
      </c>
      <c r="D636" s="4">
        <v>15</v>
      </c>
      <c r="E636" s="5">
        <v>2.2000000000000002</v>
      </c>
      <c r="F636" s="4">
        <v>11</v>
      </c>
      <c r="G636" s="5">
        <v>2.34</v>
      </c>
      <c r="H636" s="4">
        <v>0</v>
      </c>
    </row>
    <row r="637" spans="1:8" x14ac:dyDescent="0.15">
      <c r="A637" s="2" t="s">
        <v>72</v>
      </c>
      <c r="B637" s="4">
        <v>211</v>
      </c>
      <c r="C637" s="5">
        <v>18.32</v>
      </c>
      <c r="D637" s="4">
        <v>183</v>
      </c>
      <c r="E637" s="5">
        <v>26.87</v>
      </c>
      <c r="F637" s="4">
        <v>28</v>
      </c>
      <c r="G637" s="5">
        <v>5.96</v>
      </c>
      <c r="H637" s="4">
        <v>0</v>
      </c>
    </row>
    <row r="638" spans="1:8" x14ac:dyDescent="0.15">
      <c r="A638" s="2" t="s">
        <v>73</v>
      </c>
      <c r="B638" s="4">
        <v>170</v>
      </c>
      <c r="C638" s="5">
        <v>14.76</v>
      </c>
      <c r="D638" s="4">
        <v>138</v>
      </c>
      <c r="E638" s="5">
        <v>20.260000000000002</v>
      </c>
      <c r="F638" s="4">
        <v>32</v>
      </c>
      <c r="G638" s="5">
        <v>6.81</v>
      </c>
      <c r="H638" s="4">
        <v>0</v>
      </c>
    </row>
    <row r="639" spans="1:8" x14ac:dyDescent="0.15">
      <c r="A639" s="2" t="s">
        <v>74</v>
      </c>
      <c r="B639" s="4">
        <v>29</v>
      </c>
      <c r="C639" s="5">
        <v>2.52</v>
      </c>
      <c r="D639" s="4">
        <v>23</v>
      </c>
      <c r="E639" s="5">
        <v>3.38</v>
      </c>
      <c r="F639" s="4">
        <v>6</v>
      </c>
      <c r="G639" s="5">
        <v>1.28</v>
      </c>
      <c r="H639" s="4">
        <v>0</v>
      </c>
    </row>
    <row r="640" spans="1:8" x14ac:dyDescent="0.15">
      <c r="A640" s="2" t="s">
        <v>75</v>
      </c>
      <c r="B640" s="4">
        <v>44</v>
      </c>
      <c r="C640" s="5">
        <v>3.82</v>
      </c>
      <c r="D640" s="4">
        <v>27</v>
      </c>
      <c r="E640" s="5">
        <v>3.96</v>
      </c>
      <c r="F640" s="4">
        <v>16</v>
      </c>
      <c r="G640" s="5">
        <v>3.4</v>
      </c>
      <c r="H640" s="4">
        <v>1</v>
      </c>
    </row>
    <row r="641" spans="1:8" x14ac:dyDescent="0.15">
      <c r="A641" s="2" t="s">
        <v>76</v>
      </c>
      <c r="B641" s="4">
        <v>23</v>
      </c>
      <c r="C641" s="5">
        <v>2</v>
      </c>
      <c r="D641" s="4">
        <v>4</v>
      </c>
      <c r="E641" s="5">
        <v>0.59</v>
      </c>
      <c r="F641" s="4">
        <v>19</v>
      </c>
      <c r="G641" s="5">
        <v>4.04</v>
      </c>
      <c r="H641" s="4">
        <v>0</v>
      </c>
    </row>
    <row r="642" spans="1:8" x14ac:dyDescent="0.15">
      <c r="A642" s="1" t="s">
        <v>40</v>
      </c>
      <c r="B642" s="4">
        <v>2746</v>
      </c>
      <c r="C642" s="5">
        <v>100.01</v>
      </c>
      <c r="D642" s="4">
        <v>1393</v>
      </c>
      <c r="E642" s="5">
        <v>99.99</v>
      </c>
      <c r="F642" s="4">
        <v>1350</v>
      </c>
      <c r="G642" s="5">
        <v>99.98</v>
      </c>
      <c r="H642" s="4">
        <v>3</v>
      </c>
    </row>
    <row r="643" spans="1:8" x14ac:dyDescent="0.15">
      <c r="A643" s="2" t="s">
        <v>62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15">
      <c r="A644" s="2" t="s">
        <v>63</v>
      </c>
      <c r="B644" s="4">
        <v>388</v>
      </c>
      <c r="C644" s="5">
        <v>14.13</v>
      </c>
      <c r="D644" s="4">
        <v>88</v>
      </c>
      <c r="E644" s="5">
        <v>6.32</v>
      </c>
      <c r="F644" s="4">
        <v>300</v>
      </c>
      <c r="G644" s="5">
        <v>22.22</v>
      </c>
      <c r="H644" s="4">
        <v>0</v>
      </c>
    </row>
    <row r="645" spans="1:8" x14ac:dyDescent="0.15">
      <c r="A645" s="2" t="s">
        <v>64</v>
      </c>
      <c r="B645" s="4">
        <v>243</v>
      </c>
      <c r="C645" s="5">
        <v>8.85</v>
      </c>
      <c r="D645" s="4">
        <v>59</v>
      </c>
      <c r="E645" s="5">
        <v>4.24</v>
      </c>
      <c r="F645" s="4">
        <v>184</v>
      </c>
      <c r="G645" s="5">
        <v>13.63</v>
      </c>
      <c r="H645" s="4">
        <v>0</v>
      </c>
    </row>
    <row r="646" spans="1:8" x14ac:dyDescent="0.15">
      <c r="A646" s="2" t="s">
        <v>65</v>
      </c>
      <c r="B646" s="4">
        <v>0</v>
      </c>
      <c r="C646" s="5">
        <v>0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15">
      <c r="A647" s="2" t="s">
        <v>66</v>
      </c>
      <c r="B647" s="4">
        <v>18</v>
      </c>
      <c r="C647" s="5">
        <v>0.66</v>
      </c>
      <c r="D647" s="4">
        <v>2</v>
      </c>
      <c r="E647" s="5">
        <v>0.14000000000000001</v>
      </c>
      <c r="F647" s="4">
        <v>15</v>
      </c>
      <c r="G647" s="5">
        <v>1.1100000000000001</v>
      </c>
      <c r="H647" s="4">
        <v>1</v>
      </c>
    </row>
    <row r="648" spans="1:8" x14ac:dyDescent="0.15">
      <c r="A648" s="2" t="s">
        <v>67</v>
      </c>
      <c r="B648" s="4">
        <v>16</v>
      </c>
      <c r="C648" s="5">
        <v>0.57999999999999996</v>
      </c>
      <c r="D648" s="4">
        <v>1</v>
      </c>
      <c r="E648" s="5">
        <v>7.0000000000000007E-2</v>
      </c>
      <c r="F648" s="4">
        <v>15</v>
      </c>
      <c r="G648" s="5">
        <v>1.1100000000000001</v>
      </c>
      <c r="H648" s="4">
        <v>0</v>
      </c>
    </row>
    <row r="649" spans="1:8" x14ac:dyDescent="0.15">
      <c r="A649" s="2" t="s">
        <v>68</v>
      </c>
      <c r="B649" s="4">
        <v>600</v>
      </c>
      <c r="C649" s="5">
        <v>21.85</v>
      </c>
      <c r="D649" s="4">
        <v>264</v>
      </c>
      <c r="E649" s="5">
        <v>18.95</v>
      </c>
      <c r="F649" s="4">
        <v>335</v>
      </c>
      <c r="G649" s="5">
        <v>24.81</v>
      </c>
      <c r="H649" s="4">
        <v>1</v>
      </c>
    </row>
    <row r="650" spans="1:8" x14ac:dyDescent="0.15">
      <c r="A650" s="2" t="s">
        <v>69</v>
      </c>
      <c r="B650" s="4">
        <v>14</v>
      </c>
      <c r="C650" s="5">
        <v>0.51</v>
      </c>
      <c r="D650" s="4">
        <v>1</v>
      </c>
      <c r="E650" s="5">
        <v>7.0000000000000007E-2</v>
      </c>
      <c r="F650" s="4">
        <v>13</v>
      </c>
      <c r="G650" s="5">
        <v>0.96</v>
      </c>
      <c r="H650" s="4">
        <v>0</v>
      </c>
    </row>
    <row r="651" spans="1:8" x14ac:dyDescent="0.15">
      <c r="A651" s="2" t="s">
        <v>70</v>
      </c>
      <c r="B651" s="4">
        <v>347</v>
      </c>
      <c r="C651" s="5">
        <v>12.64</v>
      </c>
      <c r="D651" s="4">
        <v>164</v>
      </c>
      <c r="E651" s="5">
        <v>11.77</v>
      </c>
      <c r="F651" s="4">
        <v>183</v>
      </c>
      <c r="G651" s="5">
        <v>13.56</v>
      </c>
      <c r="H651" s="4">
        <v>0</v>
      </c>
    </row>
    <row r="652" spans="1:8" x14ac:dyDescent="0.15">
      <c r="A652" s="2" t="s">
        <v>71</v>
      </c>
      <c r="B652" s="4">
        <v>116</v>
      </c>
      <c r="C652" s="5">
        <v>4.22</v>
      </c>
      <c r="D652" s="4">
        <v>66</v>
      </c>
      <c r="E652" s="5">
        <v>4.74</v>
      </c>
      <c r="F652" s="4">
        <v>50</v>
      </c>
      <c r="G652" s="5">
        <v>3.7</v>
      </c>
      <c r="H652" s="4">
        <v>0</v>
      </c>
    </row>
    <row r="653" spans="1:8" x14ac:dyDescent="0.15">
      <c r="A653" s="2" t="s">
        <v>72</v>
      </c>
      <c r="B653" s="4">
        <v>311</v>
      </c>
      <c r="C653" s="5">
        <v>11.33</v>
      </c>
      <c r="D653" s="4">
        <v>260</v>
      </c>
      <c r="E653" s="5">
        <v>18.66</v>
      </c>
      <c r="F653" s="4">
        <v>51</v>
      </c>
      <c r="G653" s="5">
        <v>3.78</v>
      </c>
      <c r="H653" s="4">
        <v>0</v>
      </c>
    </row>
    <row r="654" spans="1:8" x14ac:dyDescent="0.15">
      <c r="A654" s="2" t="s">
        <v>73</v>
      </c>
      <c r="B654" s="4">
        <v>357</v>
      </c>
      <c r="C654" s="5">
        <v>13</v>
      </c>
      <c r="D654" s="4">
        <v>268</v>
      </c>
      <c r="E654" s="5">
        <v>19.239999999999998</v>
      </c>
      <c r="F654" s="4">
        <v>89</v>
      </c>
      <c r="G654" s="5">
        <v>6.59</v>
      </c>
      <c r="H654" s="4">
        <v>0</v>
      </c>
    </row>
    <row r="655" spans="1:8" x14ac:dyDescent="0.15">
      <c r="A655" s="2" t="s">
        <v>74</v>
      </c>
      <c r="B655" s="4">
        <v>146</v>
      </c>
      <c r="C655" s="5">
        <v>5.32</v>
      </c>
      <c r="D655" s="4">
        <v>113</v>
      </c>
      <c r="E655" s="5">
        <v>8.11</v>
      </c>
      <c r="F655" s="4">
        <v>33</v>
      </c>
      <c r="G655" s="5">
        <v>2.44</v>
      </c>
      <c r="H655" s="4">
        <v>0</v>
      </c>
    </row>
    <row r="656" spans="1:8" x14ac:dyDescent="0.15">
      <c r="A656" s="2" t="s">
        <v>75</v>
      </c>
      <c r="B656" s="4">
        <v>125</v>
      </c>
      <c r="C656" s="5">
        <v>4.55</v>
      </c>
      <c r="D656" s="4">
        <v>90</v>
      </c>
      <c r="E656" s="5">
        <v>6.46</v>
      </c>
      <c r="F656" s="4">
        <v>35</v>
      </c>
      <c r="G656" s="5">
        <v>2.59</v>
      </c>
      <c r="H656" s="4">
        <v>0</v>
      </c>
    </row>
    <row r="657" spans="1:8" x14ac:dyDescent="0.15">
      <c r="A657" s="2" t="s">
        <v>76</v>
      </c>
      <c r="B657" s="4">
        <v>65</v>
      </c>
      <c r="C657" s="5">
        <v>2.37</v>
      </c>
      <c r="D657" s="4">
        <v>17</v>
      </c>
      <c r="E657" s="5">
        <v>1.22</v>
      </c>
      <c r="F657" s="4">
        <v>47</v>
      </c>
      <c r="G657" s="5">
        <v>3.48</v>
      </c>
      <c r="H657" s="4">
        <v>1</v>
      </c>
    </row>
    <row r="658" spans="1:8" x14ac:dyDescent="0.15">
      <c r="A658" s="1" t="s">
        <v>41</v>
      </c>
      <c r="B658" s="4">
        <v>5155</v>
      </c>
      <c r="C658" s="5">
        <v>100</v>
      </c>
      <c r="D658" s="4">
        <v>2221</v>
      </c>
      <c r="E658" s="5">
        <v>100</v>
      </c>
      <c r="F658" s="4">
        <v>2924</v>
      </c>
      <c r="G658" s="5">
        <v>99.990000000000009</v>
      </c>
      <c r="H658" s="4">
        <v>10</v>
      </c>
    </row>
    <row r="659" spans="1:8" x14ac:dyDescent="0.15">
      <c r="A659" s="2" t="s">
        <v>62</v>
      </c>
      <c r="B659" s="4">
        <v>1</v>
      </c>
      <c r="C659" s="5">
        <v>0.02</v>
      </c>
      <c r="D659" s="4">
        <v>0</v>
      </c>
      <c r="E659" s="5">
        <v>0</v>
      </c>
      <c r="F659" s="4">
        <v>1</v>
      </c>
      <c r="G659" s="5">
        <v>0.03</v>
      </c>
      <c r="H659" s="4">
        <v>0</v>
      </c>
    </row>
    <row r="660" spans="1:8" x14ac:dyDescent="0.15">
      <c r="A660" s="2" t="s">
        <v>63</v>
      </c>
      <c r="B660" s="4">
        <v>811</v>
      </c>
      <c r="C660" s="5">
        <v>15.73</v>
      </c>
      <c r="D660" s="4">
        <v>177</v>
      </c>
      <c r="E660" s="5">
        <v>7.97</v>
      </c>
      <c r="F660" s="4">
        <v>634</v>
      </c>
      <c r="G660" s="5">
        <v>21.68</v>
      </c>
      <c r="H660" s="4">
        <v>0</v>
      </c>
    </row>
    <row r="661" spans="1:8" x14ac:dyDescent="0.15">
      <c r="A661" s="2" t="s">
        <v>64</v>
      </c>
      <c r="B661" s="4">
        <v>416</v>
      </c>
      <c r="C661" s="5">
        <v>8.07</v>
      </c>
      <c r="D661" s="4">
        <v>72</v>
      </c>
      <c r="E661" s="5">
        <v>3.24</v>
      </c>
      <c r="F661" s="4">
        <v>344</v>
      </c>
      <c r="G661" s="5">
        <v>11.76</v>
      </c>
      <c r="H661" s="4">
        <v>0</v>
      </c>
    </row>
    <row r="662" spans="1:8" x14ac:dyDescent="0.15">
      <c r="A662" s="2" t="s">
        <v>65</v>
      </c>
      <c r="B662" s="4">
        <v>3</v>
      </c>
      <c r="C662" s="5">
        <v>0.06</v>
      </c>
      <c r="D662" s="4">
        <v>0</v>
      </c>
      <c r="E662" s="5">
        <v>0</v>
      </c>
      <c r="F662" s="4">
        <v>3</v>
      </c>
      <c r="G662" s="5">
        <v>0.1</v>
      </c>
      <c r="H662" s="4">
        <v>0</v>
      </c>
    </row>
    <row r="663" spans="1:8" x14ac:dyDescent="0.15">
      <c r="A663" s="2" t="s">
        <v>66</v>
      </c>
      <c r="B663" s="4">
        <v>51</v>
      </c>
      <c r="C663" s="5">
        <v>0.99</v>
      </c>
      <c r="D663" s="4">
        <v>1</v>
      </c>
      <c r="E663" s="5">
        <v>0.05</v>
      </c>
      <c r="F663" s="4">
        <v>50</v>
      </c>
      <c r="G663" s="5">
        <v>1.71</v>
      </c>
      <c r="H663" s="4">
        <v>0</v>
      </c>
    </row>
    <row r="664" spans="1:8" x14ac:dyDescent="0.15">
      <c r="A664" s="2" t="s">
        <v>67</v>
      </c>
      <c r="B664" s="4">
        <v>89</v>
      </c>
      <c r="C664" s="5">
        <v>1.73</v>
      </c>
      <c r="D664" s="4">
        <v>11</v>
      </c>
      <c r="E664" s="5">
        <v>0.5</v>
      </c>
      <c r="F664" s="4">
        <v>78</v>
      </c>
      <c r="G664" s="5">
        <v>2.67</v>
      </c>
      <c r="H664" s="4">
        <v>0</v>
      </c>
    </row>
    <row r="665" spans="1:8" x14ac:dyDescent="0.15">
      <c r="A665" s="2" t="s">
        <v>68</v>
      </c>
      <c r="B665" s="4">
        <v>979</v>
      </c>
      <c r="C665" s="5">
        <v>18.989999999999998</v>
      </c>
      <c r="D665" s="4">
        <v>287</v>
      </c>
      <c r="E665" s="5">
        <v>12.92</v>
      </c>
      <c r="F665" s="4">
        <v>687</v>
      </c>
      <c r="G665" s="5">
        <v>23.5</v>
      </c>
      <c r="H665" s="4">
        <v>5</v>
      </c>
    </row>
    <row r="666" spans="1:8" x14ac:dyDescent="0.15">
      <c r="A666" s="2" t="s">
        <v>69</v>
      </c>
      <c r="B666" s="4">
        <v>25</v>
      </c>
      <c r="C666" s="5">
        <v>0.48</v>
      </c>
      <c r="D666" s="4">
        <v>2</v>
      </c>
      <c r="E666" s="5">
        <v>0.09</v>
      </c>
      <c r="F666" s="4">
        <v>23</v>
      </c>
      <c r="G666" s="5">
        <v>0.79</v>
      </c>
      <c r="H666" s="4">
        <v>0</v>
      </c>
    </row>
    <row r="667" spans="1:8" x14ac:dyDescent="0.15">
      <c r="A667" s="2" t="s">
        <v>70</v>
      </c>
      <c r="B667" s="4">
        <v>1047</v>
      </c>
      <c r="C667" s="5">
        <v>20.309999999999999</v>
      </c>
      <c r="D667" s="4">
        <v>581</v>
      </c>
      <c r="E667" s="5">
        <v>26.16</v>
      </c>
      <c r="F667" s="4">
        <v>464</v>
      </c>
      <c r="G667" s="5">
        <v>15.87</v>
      </c>
      <c r="H667" s="4">
        <v>2</v>
      </c>
    </row>
    <row r="668" spans="1:8" x14ac:dyDescent="0.15">
      <c r="A668" s="2" t="s">
        <v>71</v>
      </c>
      <c r="B668" s="4">
        <v>241</v>
      </c>
      <c r="C668" s="5">
        <v>4.68</v>
      </c>
      <c r="D668" s="4">
        <v>112</v>
      </c>
      <c r="E668" s="5">
        <v>5.04</v>
      </c>
      <c r="F668" s="4">
        <v>129</v>
      </c>
      <c r="G668" s="5">
        <v>4.41</v>
      </c>
      <c r="H668" s="4">
        <v>0</v>
      </c>
    </row>
    <row r="669" spans="1:8" x14ac:dyDescent="0.15">
      <c r="A669" s="2" t="s">
        <v>72</v>
      </c>
      <c r="B669" s="4">
        <v>479</v>
      </c>
      <c r="C669" s="5">
        <v>9.2899999999999991</v>
      </c>
      <c r="D669" s="4">
        <v>363</v>
      </c>
      <c r="E669" s="5">
        <v>16.34</v>
      </c>
      <c r="F669" s="4">
        <v>115</v>
      </c>
      <c r="G669" s="5">
        <v>3.93</v>
      </c>
      <c r="H669" s="4">
        <v>1</v>
      </c>
    </row>
    <row r="670" spans="1:8" x14ac:dyDescent="0.15">
      <c r="A670" s="2" t="s">
        <v>73</v>
      </c>
      <c r="B670" s="4">
        <v>468</v>
      </c>
      <c r="C670" s="5">
        <v>9.08</v>
      </c>
      <c r="D670" s="4">
        <v>329</v>
      </c>
      <c r="E670" s="5">
        <v>14.81</v>
      </c>
      <c r="F670" s="4">
        <v>139</v>
      </c>
      <c r="G670" s="5">
        <v>4.75</v>
      </c>
      <c r="H670" s="4">
        <v>0</v>
      </c>
    </row>
    <row r="671" spans="1:8" x14ac:dyDescent="0.15">
      <c r="A671" s="2" t="s">
        <v>74</v>
      </c>
      <c r="B671" s="4">
        <v>159</v>
      </c>
      <c r="C671" s="5">
        <v>3.08</v>
      </c>
      <c r="D671" s="4">
        <v>93</v>
      </c>
      <c r="E671" s="5">
        <v>4.1900000000000004</v>
      </c>
      <c r="F671" s="4">
        <v>66</v>
      </c>
      <c r="G671" s="5">
        <v>2.2599999999999998</v>
      </c>
      <c r="H671" s="4">
        <v>0</v>
      </c>
    </row>
    <row r="672" spans="1:8" x14ac:dyDescent="0.15">
      <c r="A672" s="2" t="s">
        <v>75</v>
      </c>
      <c r="B672" s="4">
        <v>198</v>
      </c>
      <c r="C672" s="5">
        <v>3.84</v>
      </c>
      <c r="D672" s="4">
        <v>140</v>
      </c>
      <c r="E672" s="5">
        <v>6.3</v>
      </c>
      <c r="F672" s="4">
        <v>57</v>
      </c>
      <c r="G672" s="5">
        <v>1.95</v>
      </c>
      <c r="H672" s="4">
        <v>1</v>
      </c>
    </row>
    <row r="673" spans="1:8" x14ac:dyDescent="0.15">
      <c r="A673" s="2" t="s">
        <v>76</v>
      </c>
      <c r="B673" s="4">
        <v>188</v>
      </c>
      <c r="C673" s="5">
        <v>3.65</v>
      </c>
      <c r="D673" s="4">
        <v>53</v>
      </c>
      <c r="E673" s="5">
        <v>2.39</v>
      </c>
      <c r="F673" s="4">
        <v>134</v>
      </c>
      <c r="G673" s="5">
        <v>4.58</v>
      </c>
      <c r="H673" s="4">
        <v>1</v>
      </c>
    </row>
    <row r="674" spans="1:8" x14ac:dyDescent="0.15">
      <c r="A674" s="1" t="s">
        <v>42</v>
      </c>
      <c r="B674" s="4">
        <v>4313</v>
      </c>
      <c r="C674" s="5">
        <v>100.00000000000001</v>
      </c>
      <c r="D674" s="4">
        <v>2043</v>
      </c>
      <c r="E674" s="5">
        <v>100.00000000000001</v>
      </c>
      <c r="F674" s="4">
        <v>2258</v>
      </c>
      <c r="G674" s="5">
        <v>99.999999999999986</v>
      </c>
      <c r="H674" s="4">
        <v>12</v>
      </c>
    </row>
    <row r="675" spans="1:8" x14ac:dyDescent="0.15">
      <c r="A675" s="2" t="s">
        <v>62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15">
      <c r="A676" s="2" t="s">
        <v>63</v>
      </c>
      <c r="B676" s="4">
        <v>588</v>
      </c>
      <c r="C676" s="5">
        <v>13.63</v>
      </c>
      <c r="D676" s="4">
        <v>81</v>
      </c>
      <c r="E676" s="5">
        <v>3.96</v>
      </c>
      <c r="F676" s="4">
        <v>507</v>
      </c>
      <c r="G676" s="5">
        <v>22.45</v>
      </c>
      <c r="H676" s="4">
        <v>0</v>
      </c>
    </row>
    <row r="677" spans="1:8" x14ac:dyDescent="0.15">
      <c r="A677" s="2" t="s">
        <v>64</v>
      </c>
      <c r="B677" s="4">
        <v>282</v>
      </c>
      <c r="C677" s="5">
        <v>6.54</v>
      </c>
      <c r="D677" s="4">
        <v>38</v>
      </c>
      <c r="E677" s="5">
        <v>1.86</v>
      </c>
      <c r="F677" s="4">
        <v>244</v>
      </c>
      <c r="G677" s="5">
        <v>10.81</v>
      </c>
      <c r="H677" s="4">
        <v>0</v>
      </c>
    </row>
    <row r="678" spans="1:8" x14ac:dyDescent="0.15">
      <c r="A678" s="2" t="s">
        <v>65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15">
      <c r="A679" s="2" t="s">
        <v>66</v>
      </c>
      <c r="B679" s="4">
        <v>41</v>
      </c>
      <c r="C679" s="5">
        <v>0.95</v>
      </c>
      <c r="D679" s="4">
        <v>1</v>
      </c>
      <c r="E679" s="5">
        <v>0.05</v>
      </c>
      <c r="F679" s="4">
        <v>39</v>
      </c>
      <c r="G679" s="5">
        <v>1.73</v>
      </c>
      <c r="H679" s="4">
        <v>1</v>
      </c>
    </row>
    <row r="680" spans="1:8" x14ac:dyDescent="0.15">
      <c r="A680" s="2" t="s">
        <v>67</v>
      </c>
      <c r="B680" s="4">
        <v>26</v>
      </c>
      <c r="C680" s="5">
        <v>0.6</v>
      </c>
      <c r="D680" s="4">
        <v>6</v>
      </c>
      <c r="E680" s="5">
        <v>0.28999999999999998</v>
      </c>
      <c r="F680" s="4">
        <v>20</v>
      </c>
      <c r="G680" s="5">
        <v>0.89</v>
      </c>
      <c r="H680" s="4">
        <v>0</v>
      </c>
    </row>
    <row r="681" spans="1:8" x14ac:dyDescent="0.15">
      <c r="A681" s="2" t="s">
        <v>68</v>
      </c>
      <c r="B681" s="4">
        <v>838</v>
      </c>
      <c r="C681" s="5">
        <v>19.43</v>
      </c>
      <c r="D681" s="4">
        <v>312</v>
      </c>
      <c r="E681" s="5">
        <v>15.27</v>
      </c>
      <c r="F681" s="4">
        <v>525</v>
      </c>
      <c r="G681" s="5">
        <v>23.25</v>
      </c>
      <c r="H681" s="4">
        <v>1</v>
      </c>
    </row>
    <row r="682" spans="1:8" x14ac:dyDescent="0.15">
      <c r="A682" s="2" t="s">
        <v>69</v>
      </c>
      <c r="B682" s="4">
        <v>24</v>
      </c>
      <c r="C682" s="5">
        <v>0.56000000000000005</v>
      </c>
      <c r="D682" s="4">
        <v>2</v>
      </c>
      <c r="E682" s="5">
        <v>0.1</v>
      </c>
      <c r="F682" s="4">
        <v>22</v>
      </c>
      <c r="G682" s="5">
        <v>0.97</v>
      </c>
      <c r="H682" s="4">
        <v>0</v>
      </c>
    </row>
    <row r="683" spans="1:8" x14ac:dyDescent="0.15">
      <c r="A683" s="2" t="s">
        <v>70</v>
      </c>
      <c r="B683" s="4">
        <v>723</v>
      </c>
      <c r="C683" s="5">
        <v>16.760000000000002</v>
      </c>
      <c r="D683" s="4">
        <v>372</v>
      </c>
      <c r="E683" s="5">
        <v>18.21</v>
      </c>
      <c r="F683" s="4">
        <v>351</v>
      </c>
      <c r="G683" s="5">
        <v>15.54</v>
      </c>
      <c r="H683" s="4">
        <v>0</v>
      </c>
    </row>
    <row r="684" spans="1:8" x14ac:dyDescent="0.15">
      <c r="A684" s="2" t="s">
        <v>71</v>
      </c>
      <c r="B684" s="4">
        <v>193</v>
      </c>
      <c r="C684" s="5">
        <v>4.47</v>
      </c>
      <c r="D684" s="4">
        <v>89</v>
      </c>
      <c r="E684" s="5">
        <v>4.3600000000000003</v>
      </c>
      <c r="F684" s="4">
        <v>104</v>
      </c>
      <c r="G684" s="5">
        <v>4.6100000000000003</v>
      </c>
      <c r="H684" s="4">
        <v>0</v>
      </c>
    </row>
    <row r="685" spans="1:8" x14ac:dyDescent="0.15">
      <c r="A685" s="2" t="s">
        <v>72</v>
      </c>
      <c r="B685" s="4">
        <v>595</v>
      </c>
      <c r="C685" s="5">
        <v>13.8</v>
      </c>
      <c r="D685" s="4">
        <v>486</v>
      </c>
      <c r="E685" s="5">
        <v>23.79</v>
      </c>
      <c r="F685" s="4">
        <v>109</v>
      </c>
      <c r="G685" s="5">
        <v>4.83</v>
      </c>
      <c r="H685" s="4">
        <v>0</v>
      </c>
    </row>
    <row r="686" spans="1:8" x14ac:dyDescent="0.15">
      <c r="A686" s="2" t="s">
        <v>73</v>
      </c>
      <c r="B686" s="4">
        <v>508</v>
      </c>
      <c r="C686" s="5">
        <v>11.78</v>
      </c>
      <c r="D686" s="4">
        <v>354</v>
      </c>
      <c r="E686" s="5">
        <v>17.329999999999998</v>
      </c>
      <c r="F686" s="4">
        <v>154</v>
      </c>
      <c r="G686" s="5">
        <v>6.82</v>
      </c>
      <c r="H686" s="4">
        <v>0</v>
      </c>
    </row>
    <row r="687" spans="1:8" x14ac:dyDescent="0.15">
      <c r="A687" s="2" t="s">
        <v>74</v>
      </c>
      <c r="B687" s="4">
        <v>169</v>
      </c>
      <c r="C687" s="5">
        <v>3.92</v>
      </c>
      <c r="D687" s="4">
        <v>117</v>
      </c>
      <c r="E687" s="5">
        <v>5.73</v>
      </c>
      <c r="F687" s="4">
        <v>52</v>
      </c>
      <c r="G687" s="5">
        <v>2.2999999999999998</v>
      </c>
      <c r="H687" s="4">
        <v>0</v>
      </c>
    </row>
    <row r="688" spans="1:8" x14ac:dyDescent="0.15">
      <c r="A688" s="2" t="s">
        <v>75</v>
      </c>
      <c r="B688" s="4">
        <v>201</v>
      </c>
      <c r="C688" s="5">
        <v>4.66</v>
      </c>
      <c r="D688" s="4">
        <v>149</v>
      </c>
      <c r="E688" s="5">
        <v>7.29</v>
      </c>
      <c r="F688" s="4">
        <v>51</v>
      </c>
      <c r="G688" s="5">
        <v>2.2599999999999998</v>
      </c>
      <c r="H688" s="4">
        <v>1</v>
      </c>
    </row>
    <row r="689" spans="1:8" x14ac:dyDescent="0.15">
      <c r="A689" s="2" t="s">
        <v>76</v>
      </c>
      <c r="B689" s="4">
        <v>125</v>
      </c>
      <c r="C689" s="5">
        <v>2.9</v>
      </c>
      <c r="D689" s="4">
        <v>36</v>
      </c>
      <c r="E689" s="5">
        <v>1.76</v>
      </c>
      <c r="F689" s="4">
        <v>80</v>
      </c>
      <c r="G689" s="5">
        <v>3.54</v>
      </c>
      <c r="H689" s="4">
        <v>9</v>
      </c>
    </row>
    <row r="690" spans="1:8" x14ac:dyDescent="0.15">
      <c r="A690" s="1" t="s">
        <v>43</v>
      </c>
      <c r="B690" s="4">
        <v>2106</v>
      </c>
      <c r="C690" s="5">
        <v>99.99</v>
      </c>
      <c r="D690" s="4">
        <v>1193</v>
      </c>
      <c r="E690" s="5">
        <v>100</v>
      </c>
      <c r="F690" s="4">
        <v>911</v>
      </c>
      <c r="G690" s="5">
        <v>99.999999999999986</v>
      </c>
      <c r="H690" s="4">
        <v>2</v>
      </c>
    </row>
    <row r="691" spans="1:8" x14ac:dyDescent="0.15">
      <c r="A691" s="2" t="s">
        <v>62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15">
      <c r="A692" s="2" t="s">
        <v>63</v>
      </c>
      <c r="B692" s="4">
        <v>269</v>
      </c>
      <c r="C692" s="5">
        <v>12.77</v>
      </c>
      <c r="D692" s="4">
        <v>62</v>
      </c>
      <c r="E692" s="5">
        <v>5.2</v>
      </c>
      <c r="F692" s="4">
        <v>207</v>
      </c>
      <c r="G692" s="5">
        <v>22.72</v>
      </c>
      <c r="H692" s="4">
        <v>0</v>
      </c>
    </row>
    <row r="693" spans="1:8" x14ac:dyDescent="0.15">
      <c r="A693" s="2" t="s">
        <v>64</v>
      </c>
      <c r="B693" s="4">
        <v>148</v>
      </c>
      <c r="C693" s="5">
        <v>7.03</v>
      </c>
      <c r="D693" s="4">
        <v>34</v>
      </c>
      <c r="E693" s="5">
        <v>2.85</v>
      </c>
      <c r="F693" s="4">
        <v>114</v>
      </c>
      <c r="G693" s="5">
        <v>12.51</v>
      </c>
      <c r="H693" s="4">
        <v>0</v>
      </c>
    </row>
    <row r="694" spans="1:8" x14ac:dyDescent="0.15">
      <c r="A694" s="2" t="s">
        <v>65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15">
      <c r="A695" s="2" t="s">
        <v>66</v>
      </c>
      <c r="B695" s="4">
        <v>16</v>
      </c>
      <c r="C695" s="5">
        <v>0.76</v>
      </c>
      <c r="D695" s="4">
        <v>1</v>
      </c>
      <c r="E695" s="5">
        <v>0.08</v>
      </c>
      <c r="F695" s="4">
        <v>14</v>
      </c>
      <c r="G695" s="5">
        <v>1.54</v>
      </c>
      <c r="H695" s="4">
        <v>1</v>
      </c>
    </row>
    <row r="696" spans="1:8" x14ac:dyDescent="0.15">
      <c r="A696" s="2" t="s">
        <v>67</v>
      </c>
      <c r="B696" s="4">
        <v>12</v>
      </c>
      <c r="C696" s="5">
        <v>0.56999999999999995</v>
      </c>
      <c r="D696" s="4">
        <v>1</v>
      </c>
      <c r="E696" s="5">
        <v>0.08</v>
      </c>
      <c r="F696" s="4">
        <v>11</v>
      </c>
      <c r="G696" s="5">
        <v>1.21</v>
      </c>
      <c r="H696" s="4">
        <v>0</v>
      </c>
    </row>
    <row r="697" spans="1:8" x14ac:dyDescent="0.15">
      <c r="A697" s="2" t="s">
        <v>68</v>
      </c>
      <c r="B697" s="4">
        <v>386</v>
      </c>
      <c r="C697" s="5">
        <v>18.329999999999998</v>
      </c>
      <c r="D697" s="4">
        <v>160</v>
      </c>
      <c r="E697" s="5">
        <v>13.41</v>
      </c>
      <c r="F697" s="4">
        <v>226</v>
      </c>
      <c r="G697" s="5">
        <v>24.81</v>
      </c>
      <c r="H697" s="4">
        <v>0</v>
      </c>
    </row>
    <row r="698" spans="1:8" x14ac:dyDescent="0.15">
      <c r="A698" s="2" t="s">
        <v>69</v>
      </c>
      <c r="B698" s="4">
        <v>11</v>
      </c>
      <c r="C698" s="5">
        <v>0.52</v>
      </c>
      <c r="D698" s="4">
        <v>1</v>
      </c>
      <c r="E698" s="5">
        <v>0.08</v>
      </c>
      <c r="F698" s="4">
        <v>10</v>
      </c>
      <c r="G698" s="5">
        <v>1.1000000000000001</v>
      </c>
      <c r="H698" s="4">
        <v>0</v>
      </c>
    </row>
    <row r="699" spans="1:8" x14ac:dyDescent="0.15">
      <c r="A699" s="2" t="s">
        <v>70</v>
      </c>
      <c r="B699" s="4">
        <v>547</v>
      </c>
      <c r="C699" s="5">
        <v>25.97</v>
      </c>
      <c r="D699" s="4">
        <v>430</v>
      </c>
      <c r="E699" s="5">
        <v>36.04</v>
      </c>
      <c r="F699" s="4">
        <v>117</v>
      </c>
      <c r="G699" s="5">
        <v>12.84</v>
      </c>
      <c r="H699" s="4">
        <v>0</v>
      </c>
    </row>
    <row r="700" spans="1:8" x14ac:dyDescent="0.15">
      <c r="A700" s="2" t="s">
        <v>71</v>
      </c>
      <c r="B700" s="4">
        <v>78</v>
      </c>
      <c r="C700" s="5">
        <v>3.7</v>
      </c>
      <c r="D700" s="4">
        <v>39</v>
      </c>
      <c r="E700" s="5">
        <v>3.27</v>
      </c>
      <c r="F700" s="4">
        <v>39</v>
      </c>
      <c r="G700" s="5">
        <v>4.28</v>
      </c>
      <c r="H700" s="4">
        <v>0</v>
      </c>
    </row>
    <row r="701" spans="1:8" x14ac:dyDescent="0.15">
      <c r="A701" s="2" t="s">
        <v>72</v>
      </c>
      <c r="B701" s="4">
        <v>231</v>
      </c>
      <c r="C701" s="5">
        <v>10.97</v>
      </c>
      <c r="D701" s="4">
        <v>186</v>
      </c>
      <c r="E701" s="5">
        <v>15.59</v>
      </c>
      <c r="F701" s="4">
        <v>45</v>
      </c>
      <c r="G701" s="5">
        <v>4.9400000000000004</v>
      </c>
      <c r="H701" s="4">
        <v>0</v>
      </c>
    </row>
    <row r="702" spans="1:8" x14ac:dyDescent="0.15">
      <c r="A702" s="2" t="s">
        <v>73</v>
      </c>
      <c r="B702" s="4">
        <v>197</v>
      </c>
      <c r="C702" s="5">
        <v>9.35</v>
      </c>
      <c r="D702" s="4">
        <v>148</v>
      </c>
      <c r="E702" s="5">
        <v>12.41</v>
      </c>
      <c r="F702" s="4">
        <v>49</v>
      </c>
      <c r="G702" s="5">
        <v>5.38</v>
      </c>
      <c r="H702" s="4">
        <v>0</v>
      </c>
    </row>
    <row r="703" spans="1:8" x14ac:dyDescent="0.15">
      <c r="A703" s="2" t="s">
        <v>74</v>
      </c>
      <c r="B703" s="4">
        <v>64</v>
      </c>
      <c r="C703" s="5">
        <v>3.04</v>
      </c>
      <c r="D703" s="4">
        <v>46</v>
      </c>
      <c r="E703" s="5">
        <v>3.86</v>
      </c>
      <c r="F703" s="4">
        <v>17</v>
      </c>
      <c r="G703" s="5">
        <v>1.87</v>
      </c>
      <c r="H703" s="4">
        <v>1</v>
      </c>
    </row>
    <row r="704" spans="1:8" x14ac:dyDescent="0.15">
      <c r="A704" s="2" t="s">
        <v>75</v>
      </c>
      <c r="B704" s="4">
        <v>88</v>
      </c>
      <c r="C704" s="5">
        <v>4.18</v>
      </c>
      <c r="D704" s="4">
        <v>65</v>
      </c>
      <c r="E704" s="5">
        <v>5.45</v>
      </c>
      <c r="F704" s="4">
        <v>23</v>
      </c>
      <c r="G704" s="5">
        <v>2.52</v>
      </c>
      <c r="H704" s="4">
        <v>0</v>
      </c>
    </row>
    <row r="705" spans="1:8" x14ac:dyDescent="0.15">
      <c r="A705" s="2" t="s">
        <v>76</v>
      </c>
      <c r="B705" s="4">
        <v>59</v>
      </c>
      <c r="C705" s="5">
        <v>2.8</v>
      </c>
      <c r="D705" s="4">
        <v>20</v>
      </c>
      <c r="E705" s="5">
        <v>1.68</v>
      </c>
      <c r="F705" s="4">
        <v>39</v>
      </c>
      <c r="G705" s="5">
        <v>4.28</v>
      </c>
      <c r="H705" s="4">
        <v>0</v>
      </c>
    </row>
    <row r="706" spans="1:8" x14ac:dyDescent="0.15">
      <c r="A706" s="1" t="s">
        <v>44</v>
      </c>
      <c r="B706" s="4">
        <v>2357</v>
      </c>
      <c r="C706" s="5">
        <v>99.990000000000009</v>
      </c>
      <c r="D706" s="4">
        <v>1130</v>
      </c>
      <c r="E706" s="5">
        <v>99.97999999999999</v>
      </c>
      <c r="F706" s="4">
        <v>1224</v>
      </c>
      <c r="G706" s="5">
        <v>100.01</v>
      </c>
      <c r="H706" s="4">
        <v>3</v>
      </c>
    </row>
    <row r="707" spans="1:8" x14ac:dyDescent="0.15">
      <c r="A707" s="2" t="s">
        <v>62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15">
      <c r="A708" s="2" t="s">
        <v>63</v>
      </c>
      <c r="B708" s="4">
        <v>337</v>
      </c>
      <c r="C708" s="5">
        <v>14.3</v>
      </c>
      <c r="D708" s="4">
        <v>63</v>
      </c>
      <c r="E708" s="5">
        <v>5.58</v>
      </c>
      <c r="F708" s="4">
        <v>274</v>
      </c>
      <c r="G708" s="5">
        <v>22.39</v>
      </c>
      <c r="H708" s="4">
        <v>0</v>
      </c>
    </row>
    <row r="709" spans="1:8" x14ac:dyDescent="0.15">
      <c r="A709" s="2" t="s">
        <v>64</v>
      </c>
      <c r="B709" s="4">
        <v>131</v>
      </c>
      <c r="C709" s="5">
        <v>5.56</v>
      </c>
      <c r="D709" s="4">
        <v>32</v>
      </c>
      <c r="E709" s="5">
        <v>2.83</v>
      </c>
      <c r="F709" s="4">
        <v>99</v>
      </c>
      <c r="G709" s="5">
        <v>8.09</v>
      </c>
      <c r="H709" s="4">
        <v>0</v>
      </c>
    </row>
    <row r="710" spans="1:8" x14ac:dyDescent="0.15">
      <c r="A710" s="2" t="s">
        <v>65</v>
      </c>
      <c r="B710" s="4">
        <v>1</v>
      </c>
      <c r="C710" s="5">
        <v>0.04</v>
      </c>
      <c r="D710" s="4">
        <v>0</v>
      </c>
      <c r="E710" s="5">
        <v>0</v>
      </c>
      <c r="F710" s="4">
        <v>1</v>
      </c>
      <c r="G710" s="5">
        <v>0.08</v>
      </c>
      <c r="H710" s="4">
        <v>0</v>
      </c>
    </row>
    <row r="711" spans="1:8" x14ac:dyDescent="0.15">
      <c r="A711" s="2" t="s">
        <v>66</v>
      </c>
      <c r="B711" s="4">
        <v>21</v>
      </c>
      <c r="C711" s="5">
        <v>0.89</v>
      </c>
      <c r="D711" s="4">
        <v>0</v>
      </c>
      <c r="E711" s="5">
        <v>0</v>
      </c>
      <c r="F711" s="4">
        <v>21</v>
      </c>
      <c r="G711" s="5">
        <v>1.72</v>
      </c>
      <c r="H711" s="4">
        <v>0</v>
      </c>
    </row>
    <row r="712" spans="1:8" x14ac:dyDescent="0.15">
      <c r="A712" s="2" t="s">
        <v>67</v>
      </c>
      <c r="B712" s="4">
        <v>24</v>
      </c>
      <c r="C712" s="5">
        <v>1.02</v>
      </c>
      <c r="D712" s="4">
        <v>2</v>
      </c>
      <c r="E712" s="5">
        <v>0.18</v>
      </c>
      <c r="F712" s="4">
        <v>22</v>
      </c>
      <c r="G712" s="5">
        <v>1.8</v>
      </c>
      <c r="H712" s="4">
        <v>0</v>
      </c>
    </row>
    <row r="713" spans="1:8" x14ac:dyDescent="0.15">
      <c r="A713" s="2" t="s">
        <v>68</v>
      </c>
      <c r="B713" s="4">
        <v>483</v>
      </c>
      <c r="C713" s="5">
        <v>20.49</v>
      </c>
      <c r="D713" s="4">
        <v>152</v>
      </c>
      <c r="E713" s="5">
        <v>13.45</v>
      </c>
      <c r="F713" s="4">
        <v>331</v>
      </c>
      <c r="G713" s="5">
        <v>27.04</v>
      </c>
      <c r="H713" s="4">
        <v>0</v>
      </c>
    </row>
    <row r="714" spans="1:8" x14ac:dyDescent="0.15">
      <c r="A714" s="2" t="s">
        <v>69</v>
      </c>
      <c r="B714" s="4">
        <v>14</v>
      </c>
      <c r="C714" s="5">
        <v>0.59</v>
      </c>
      <c r="D714" s="4">
        <v>4</v>
      </c>
      <c r="E714" s="5">
        <v>0.35</v>
      </c>
      <c r="F714" s="4">
        <v>10</v>
      </c>
      <c r="G714" s="5">
        <v>0.82</v>
      </c>
      <c r="H714" s="4">
        <v>0</v>
      </c>
    </row>
    <row r="715" spans="1:8" x14ac:dyDescent="0.15">
      <c r="A715" s="2" t="s">
        <v>70</v>
      </c>
      <c r="B715" s="4">
        <v>412</v>
      </c>
      <c r="C715" s="5">
        <v>17.48</v>
      </c>
      <c r="D715" s="4">
        <v>237</v>
      </c>
      <c r="E715" s="5">
        <v>20.97</v>
      </c>
      <c r="F715" s="4">
        <v>175</v>
      </c>
      <c r="G715" s="5">
        <v>14.3</v>
      </c>
      <c r="H715" s="4">
        <v>0</v>
      </c>
    </row>
    <row r="716" spans="1:8" x14ac:dyDescent="0.15">
      <c r="A716" s="2" t="s">
        <v>71</v>
      </c>
      <c r="B716" s="4">
        <v>112</v>
      </c>
      <c r="C716" s="5">
        <v>4.75</v>
      </c>
      <c r="D716" s="4">
        <v>52</v>
      </c>
      <c r="E716" s="5">
        <v>4.5999999999999996</v>
      </c>
      <c r="F716" s="4">
        <v>60</v>
      </c>
      <c r="G716" s="5">
        <v>4.9000000000000004</v>
      </c>
      <c r="H716" s="4">
        <v>0</v>
      </c>
    </row>
    <row r="717" spans="1:8" x14ac:dyDescent="0.15">
      <c r="A717" s="2" t="s">
        <v>72</v>
      </c>
      <c r="B717" s="4">
        <v>249</v>
      </c>
      <c r="C717" s="5">
        <v>10.56</v>
      </c>
      <c r="D717" s="4">
        <v>203</v>
      </c>
      <c r="E717" s="5">
        <v>17.96</v>
      </c>
      <c r="F717" s="4">
        <v>46</v>
      </c>
      <c r="G717" s="5">
        <v>3.76</v>
      </c>
      <c r="H717" s="4">
        <v>0</v>
      </c>
    </row>
    <row r="718" spans="1:8" x14ac:dyDescent="0.15">
      <c r="A718" s="2" t="s">
        <v>73</v>
      </c>
      <c r="B718" s="4">
        <v>273</v>
      </c>
      <c r="C718" s="5">
        <v>11.58</v>
      </c>
      <c r="D718" s="4">
        <v>197</v>
      </c>
      <c r="E718" s="5">
        <v>17.43</v>
      </c>
      <c r="F718" s="4">
        <v>76</v>
      </c>
      <c r="G718" s="5">
        <v>6.21</v>
      </c>
      <c r="H718" s="4">
        <v>0</v>
      </c>
    </row>
    <row r="719" spans="1:8" x14ac:dyDescent="0.15">
      <c r="A719" s="2" t="s">
        <v>74</v>
      </c>
      <c r="B719" s="4">
        <v>111</v>
      </c>
      <c r="C719" s="5">
        <v>4.71</v>
      </c>
      <c r="D719" s="4">
        <v>85</v>
      </c>
      <c r="E719" s="5">
        <v>7.52</v>
      </c>
      <c r="F719" s="4">
        <v>26</v>
      </c>
      <c r="G719" s="5">
        <v>2.12</v>
      </c>
      <c r="H719" s="4">
        <v>0</v>
      </c>
    </row>
    <row r="720" spans="1:8" x14ac:dyDescent="0.15">
      <c r="A720" s="2" t="s">
        <v>75</v>
      </c>
      <c r="B720" s="4">
        <v>114</v>
      </c>
      <c r="C720" s="5">
        <v>4.84</v>
      </c>
      <c r="D720" s="4">
        <v>78</v>
      </c>
      <c r="E720" s="5">
        <v>6.9</v>
      </c>
      <c r="F720" s="4">
        <v>35</v>
      </c>
      <c r="G720" s="5">
        <v>2.86</v>
      </c>
      <c r="H720" s="4">
        <v>1</v>
      </c>
    </row>
    <row r="721" spans="1:8" x14ac:dyDescent="0.15">
      <c r="A721" s="2" t="s">
        <v>76</v>
      </c>
      <c r="B721" s="4">
        <v>75</v>
      </c>
      <c r="C721" s="5">
        <v>3.18</v>
      </c>
      <c r="D721" s="4">
        <v>25</v>
      </c>
      <c r="E721" s="5">
        <v>2.21</v>
      </c>
      <c r="F721" s="4">
        <v>48</v>
      </c>
      <c r="G721" s="5">
        <v>3.92</v>
      </c>
      <c r="H721" s="4">
        <v>2</v>
      </c>
    </row>
    <row r="722" spans="1:8" x14ac:dyDescent="0.15">
      <c r="A722" s="1" t="s">
        <v>45</v>
      </c>
      <c r="B722" s="4">
        <v>2002</v>
      </c>
      <c r="C722" s="5">
        <v>100.00999999999998</v>
      </c>
      <c r="D722" s="4">
        <v>1056</v>
      </c>
      <c r="E722" s="5">
        <v>99.990000000000009</v>
      </c>
      <c r="F722" s="4">
        <v>944</v>
      </c>
      <c r="G722" s="5">
        <v>99.990000000000009</v>
      </c>
      <c r="H722" s="4">
        <v>2</v>
      </c>
    </row>
    <row r="723" spans="1:8" x14ac:dyDescent="0.15">
      <c r="A723" s="2" t="s">
        <v>62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15">
      <c r="A724" s="2" t="s">
        <v>63</v>
      </c>
      <c r="B724" s="4">
        <v>326</v>
      </c>
      <c r="C724" s="5">
        <v>16.28</v>
      </c>
      <c r="D724" s="4">
        <v>77</v>
      </c>
      <c r="E724" s="5">
        <v>7.29</v>
      </c>
      <c r="F724" s="4">
        <v>249</v>
      </c>
      <c r="G724" s="5">
        <v>26.38</v>
      </c>
      <c r="H724" s="4">
        <v>0</v>
      </c>
    </row>
    <row r="725" spans="1:8" x14ac:dyDescent="0.15">
      <c r="A725" s="2" t="s">
        <v>64</v>
      </c>
      <c r="B725" s="4">
        <v>131</v>
      </c>
      <c r="C725" s="5">
        <v>6.54</v>
      </c>
      <c r="D725" s="4">
        <v>26</v>
      </c>
      <c r="E725" s="5">
        <v>2.46</v>
      </c>
      <c r="F725" s="4">
        <v>105</v>
      </c>
      <c r="G725" s="5">
        <v>11.12</v>
      </c>
      <c r="H725" s="4">
        <v>0</v>
      </c>
    </row>
    <row r="726" spans="1:8" x14ac:dyDescent="0.15">
      <c r="A726" s="2" t="s">
        <v>65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15">
      <c r="A727" s="2" t="s">
        <v>66</v>
      </c>
      <c r="B727" s="4">
        <v>19</v>
      </c>
      <c r="C727" s="5">
        <v>0.95</v>
      </c>
      <c r="D727" s="4">
        <v>2</v>
      </c>
      <c r="E727" s="5">
        <v>0.19</v>
      </c>
      <c r="F727" s="4">
        <v>17</v>
      </c>
      <c r="G727" s="5">
        <v>1.8</v>
      </c>
      <c r="H727" s="4">
        <v>0</v>
      </c>
    </row>
    <row r="728" spans="1:8" x14ac:dyDescent="0.15">
      <c r="A728" s="2" t="s">
        <v>67</v>
      </c>
      <c r="B728" s="4">
        <v>22</v>
      </c>
      <c r="C728" s="5">
        <v>1.1000000000000001</v>
      </c>
      <c r="D728" s="4">
        <v>3</v>
      </c>
      <c r="E728" s="5">
        <v>0.28000000000000003</v>
      </c>
      <c r="F728" s="4">
        <v>19</v>
      </c>
      <c r="G728" s="5">
        <v>2.0099999999999998</v>
      </c>
      <c r="H728" s="4">
        <v>0</v>
      </c>
    </row>
    <row r="729" spans="1:8" x14ac:dyDescent="0.15">
      <c r="A729" s="2" t="s">
        <v>68</v>
      </c>
      <c r="B729" s="4">
        <v>363</v>
      </c>
      <c r="C729" s="5">
        <v>18.13</v>
      </c>
      <c r="D729" s="4">
        <v>160</v>
      </c>
      <c r="E729" s="5">
        <v>15.15</v>
      </c>
      <c r="F729" s="4">
        <v>203</v>
      </c>
      <c r="G729" s="5">
        <v>21.5</v>
      </c>
      <c r="H729" s="4">
        <v>0</v>
      </c>
    </row>
    <row r="730" spans="1:8" x14ac:dyDescent="0.15">
      <c r="A730" s="2" t="s">
        <v>69</v>
      </c>
      <c r="B730" s="4">
        <v>10</v>
      </c>
      <c r="C730" s="5">
        <v>0.5</v>
      </c>
      <c r="D730" s="4">
        <v>1</v>
      </c>
      <c r="E730" s="5">
        <v>0.09</v>
      </c>
      <c r="F730" s="4">
        <v>9</v>
      </c>
      <c r="G730" s="5">
        <v>0.95</v>
      </c>
      <c r="H730" s="4">
        <v>0</v>
      </c>
    </row>
    <row r="731" spans="1:8" x14ac:dyDescent="0.15">
      <c r="A731" s="2" t="s">
        <v>70</v>
      </c>
      <c r="B731" s="4">
        <v>343</v>
      </c>
      <c r="C731" s="5">
        <v>17.13</v>
      </c>
      <c r="D731" s="4">
        <v>223</v>
      </c>
      <c r="E731" s="5">
        <v>21.12</v>
      </c>
      <c r="F731" s="4">
        <v>119</v>
      </c>
      <c r="G731" s="5">
        <v>12.61</v>
      </c>
      <c r="H731" s="4">
        <v>1</v>
      </c>
    </row>
    <row r="732" spans="1:8" x14ac:dyDescent="0.15">
      <c r="A732" s="2" t="s">
        <v>71</v>
      </c>
      <c r="B732" s="4">
        <v>87</v>
      </c>
      <c r="C732" s="5">
        <v>4.3499999999999996</v>
      </c>
      <c r="D732" s="4">
        <v>41</v>
      </c>
      <c r="E732" s="5">
        <v>3.88</v>
      </c>
      <c r="F732" s="4">
        <v>46</v>
      </c>
      <c r="G732" s="5">
        <v>4.87</v>
      </c>
      <c r="H732" s="4">
        <v>0</v>
      </c>
    </row>
    <row r="733" spans="1:8" x14ac:dyDescent="0.15">
      <c r="A733" s="2" t="s">
        <v>72</v>
      </c>
      <c r="B733" s="4">
        <v>235</v>
      </c>
      <c r="C733" s="5">
        <v>11.74</v>
      </c>
      <c r="D733" s="4">
        <v>202</v>
      </c>
      <c r="E733" s="5">
        <v>19.13</v>
      </c>
      <c r="F733" s="4">
        <v>32</v>
      </c>
      <c r="G733" s="5">
        <v>3.39</v>
      </c>
      <c r="H733" s="4">
        <v>1</v>
      </c>
    </row>
    <row r="734" spans="1:8" x14ac:dyDescent="0.15">
      <c r="A734" s="2" t="s">
        <v>73</v>
      </c>
      <c r="B734" s="4">
        <v>250</v>
      </c>
      <c r="C734" s="5">
        <v>12.49</v>
      </c>
      <c r="D734" s="4">
        <v>196</v>
      </c>
      <c r="E734" s="5">
        <v>18.559999999999999</v>
      </c>
      <c r="F734" s="4">
        <v>54</v>
      </c>
      <c r="G734" s="5">
        <v>5.72</v>
      </c>
      <c r="H734" s="4">
        <v>0</v>
      </c>
    </row>
    <row r="735" spans="1:8" x14ac:dyDescent="0.15">
      <c r="A735" s="2" t="s">
        <v>74</v>
      </c>
      <c r="B735" s="4">
        <v>71</v>
      </c>
      <c r="C735" s="5">
        <v>3.55</v>
      </c>
      <c r="D735" s="4">
        <v>53</v>
      </c>
      <c r="E735" s="5">
        <v>5.0199999999999996</v>
      </c>
      <c r="F735" s="4">
        <v>18</v>
      </c>
      <c r="G735" s="5">
        <v>1.91</v>
      </c>
      <c r="H735" s="4">
        <v>0</v>
      </c>
    </row>
    <row r="736" spans="1:8" x14ac:dyDescent="0.15">
      <c r="A736" s="2" t="s">
        <v>75</v>
      </c>
      <c r="B736" s="4">
        <v>85</v>
      </c>
      <c r="C736" s="5">
        <v>4.25</v>
      </c>
      <c r="D736" s="4">
        <v>59</v>
      </c>
      <c r="E736" s="5">
        <v>5.59</v>
      </c>
      <c r="F736" s="4">
        <v>26</v>
      </c>
      <c r="G736" s="5">
        <v>2.75</v>
      </c>
      <c r="H736" s="4">
        <v>0</v>
      </c>
    </row>
    <row r="737" spans="1:8" x14ac:dyDescent="0.15">
      <c r="A737" s="2" t="s">
        <v>76</v>
      </c>
      <c r="B737" s="4">
        <v>60</v>
      </c>
      <c r="C737" s="5">
        <v>3</v>
      </c>
      <c r="D737" s="4">
        <v>13</v>
      </c>
      <c r="E737" s="5">
        <v>1.23</v>
      </c>
      <c r="F737" s="4">
        <v>47</v>
      </c>
      <c r="G737" s="5">
        <v>4.9800000000000004</v>
      </c>
      <c r="H737" s="4">
        <v>0</v>
      </c>
    </row>
    <row r="738" spans="1:8" x14ac:dyDescent="0.15">
      <c r="A738" s="1" t="s">
        <v>46</v>
      </c>
      <c r="B738" s="4">
        <v>943</v>
      </c>
      <c r="C738" s="5">
        <v>100</v>
      </c>
      <c r="D738" s="4">
        <v>587</v>
      </c>
      <c r="E738" s="5">
        <v>100.01000000000002</v>
      </c>
      <c r="F738" s="4">
        <v>355</v>
      </c>
      <c r="G738" s="5">
        <v>100.00999999999999</v>
      </c>
      <c r="H738" s="4">
        <v>1</v>
      </c>
    </row>
    <row r="739" spans="1:8" x14ac:dyDescent="0.15">
      <c r="A739" s="2" t="s">
        <v>62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15">
      <c r="A740" s="2" t="s">
        <v>63</v>
      </c>
      <c r="B740" s="4">
        <v>202</v>
      </c>
      <c r="C740" s="5">
        <v>21.42</v>
      </c>
      <c r="D740" s="4">
        <v>63</v>
      </c>
      <c r="E740" s="5">
        <v>10.73</v>
      </c>
      <c r="F740" s="4">
        <v>139</v>
      </c>
      <c r="G740" s="5">
        <v>39.15</v>
      </c>
      <c r="H740" s="4">
        <v>0</v>
      </c>
    </row>
    <row r="741" spans="1:8" x14ac:dyDescent="0.15">
      <c r="A741" s="2" t="s">
        <v>64</v>
      </c>
      <c r="B741" s="4">
        <v>66</v>
      </c>
      <c r="C741" s="5">
        <v>7</v>
      </c>
      <c r="D741" s="4">
        <v>27</v>
      </c>
      <c r="E741" s="5">
        <v>4.5999999999999996</v>
      </c>
      <c r="F741" s="4">
        <v>39</v>
      </c>
      <c r="G741" s="5">
        <v>10.99</v>
      </c>
      <c r="H741" s="4">
        <v>0</v>
      </c>
    </row>
    <row r="742" spans="1:8" x14ac:dyDescent="0.15">
      <c r="A742" s="2" t="s">
        <v>65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15">
      <c r="A743" s="2" t="s">
        <v>66</v>
      </c>
      <c r="B743" s="4">
        <v>3</v>
      </c>
      <c r="C743" s="5">
        <v>0.32</v>
      </c>
      <c r="D743" s="4">
        <v>0</v>
      </c>
      <c r="E743" s="5">
        <v>0</v>
      </c>
      <c r="F743" s="4">
        <v>3</v>
      </c>
      <c r="G743" s="5">
        <v>0.85</v>
      </c>
      <c r="H743" s="4">
        <v>0</v>
      </c>
    </row>
    <row r="744" spans="1:8" x14ac:dyDescent="0.15">
      <c r="A744" s="2" t="s">
        <v>67</v>
      </c>
      <c r="B744" s="4">
        <v>2</v>
      </c>
      <c r="C744" s="5">
        <v>0.21</v>
      </c>
      <c r="D744" s="4">
        <v>2</v>
      </c>
      <c r="E744" s="5">
        <v>0.34</v>
      </c>
      <c r="F744" s="4">
        <v>0</v>
      </c>
      <c r="G744" s="5">
        <v>0</v>
      </c>
      <c r="H744" s="4">
        <v>0</v>
      </c>
    </row>
    <row r="745" spans="1:8" x14ac:dyDescent="0.15">
      <c r="A745" s="2" t="s">
        <v>68</v>
      </c>
      <c r="B745" s="4">
        <v>152</v>
      </c>
      <c r="C745" s="5">
        <v>16.12</v>
      </c>
      <c r="D745" s="4">
        <v>70</v>
      </c>
      <c r="E745" s="5">
        <v>11.93</v>
      </c>
      <c r="F745" s="4">
        <v>82</v>
      </c>
      <c r="G745" s="5">
        <v>23.1</v>
      </c>
      <c r="H745" s="4">
        <v>0</v>
      </c>
    </row>
    <row r="746" spans="1:8" x14ac:dyDescent="0.15">
      <c r="A746" s="2" t="s">
        <v>69</v>
      </c>
      <c r="B746" s="4">
        <v>4</v>
      </c>
      <c r="C746" s="5">
        <v>0.42</v>
      </c>
      <c r="D746" s="4">
        <v>1</v>
      </c>
      <c r="E746" s="5">
        <v>0.17</v>
      </c>
      <c r="F746" s="4">
        <v>3</v>
      </c>
      <c r="G746" s="5">
        <v>0.85</v>
      </c>
      <c r="H746" s="4">
        <v>0</v>
      </c>
    </row>
    <row r="747" spans="1:8" x14ac:dyDescent="0.15">
      <c r="A747" s="2" t="s">
        <v>70</v>
      </c>
      <c r="B747" s="4">
        <v>209</v>
      </c>
      <c r="C747" s="5">
        <v>22.16</v>
      </c>
      <c r="D747" s="4">
        <v>184</v>
      </c>
      <c r="E747" s="5">
        <v>31.35</v>
      </c>
      <c r="F747" s="4">
        <v>25</v>
      </c>
      <c r="G747" s="5">
        <v>7.04</v>
      </c>
      <c r="H747" s="4">
        <v>0</v>
      </c>
    </row>
    <row r="748" spans="1:8" x14ac:dyDescent="0.15">
      <c r="A748" s="2" t="s">
        <v>71</v>
      </c>
      <c r="B748" s="4">
        <v>28</v>
      </c>
      <c r="C748" s="5">
        <v>2.97</v>
      </c>
      <c r="D748" s="4">
        <v>14</v>
      </c>
      <c r="E748" s="5">
        <v>2.39</v>
      </c>
      <c r="F748" s="4">
        <v>14</v>
      </c>
      <c r="G748" s="5">
        <v>3.94</v>
      </c>
      <c r="H748" s="4">
        <v>0</v>
      </c>
    </row>
    <row r="749" spans="1:8" x14ac:dyDescent="0.15">
      <c r="A749" s="2" t="s">
        <v>72</v>
      </c>
      <c r="B749" s="4">
        <v>86</v>
      </c>
      <c r="C749" s="5">
        <v>9.1199999999999992</v>
      </c>
      <c r="D749" s="4">
        <v>78</v>
      </c>
      <c r="E749" s="5">
        <v>13.29</v>
      </c>
      <c r="F749" s="4">
        <v>8</v>
      </c>
      <c r="G749" s="5">
        <v>2.25</v>
      </c>
      <c r="H749" s="4">
        <v>0</v>
      </c>
    </row>
    <row r="750" spans="1:8" x14ac:dyDescent="0.15">
      <c r="A750" s="2" t="s">
        <v>73</v>
      </c>
      <c r="B750" s="4">
        <v>106</v>
      </c>
      <c r="C750" s="5">
        <v>11.24</v>
      </c>
      <c r="D750" s="4">
        <v>95</v>
      </c>
      <c r="E750" s="5">
        <v>16.18</v>
      </c>
      <c r="F750" s="4">
        <v>11</v>
      </c>
      <c r="G750" s="5">
        <v>3.1</v>
      </c>
      <c r="H750" s="4">
        <v>0</v>
      </c>
    </row>
    <row r="751" spans="1:8" x14ac:dyDescent="0.15">
      <c r="A751" s="2" t="s">
        <v>74</v>
      </c>
      <c r="B751" s="4">
        <v>36</v>
      </c>
      <c r="C751" s="5">
        <v>3.82</v>
      </c>
      <c r="D751" s="4">
        <v>24</v>
      </c>
      <c r="E751" s="5">
        <v>4.09</v>
      </c>
      <c r="F751" s="4">
        <v>12</v>
      </c>
      <c r="G751" s="5">
        <v>3.38</v>
      </c>
      <c r="H751" s="4">
        <v>0</v>
      </c>
    </row>
    <row r="752" spans="1:8" x14ac:dyDescent="0.15">
      <c r="A752" s="2" t="s">
        <v>75</v>
      </c>
      <c r="B752" s="4">
        <v>34</v>
      </c>
      <c r="C752" s="5">
        <v>3.61</v>
      </c>
      <c r="D752" s="4">
        <v>24</v>
      </c>
      <c r="E752" s="5">
        <v>4.09</v>
      </c>
      <c r="F752" s="4">
        <v>9</v>
      </c>
      <c r="G752" s="5">
        <v>2.54</v>
      </c>
      <c r="H752" s="4">
        <v>1</v>
      </c>
    </row>
    <row r="753" spans="1:8" x14ac:dyDescent="0.15">
      <c r="A753" s="2" t="s">
        <v>76</v>
      </c>
      <c r="B753" s="4">
        <v>15</v>
      </c>
      <c r="C753" s="5">
        <v>1.59</v>
      </c>
      <c r="D753" s="4">
        <v>5</v>
      </c>
      <c r="E753" s="5">
        <v>0.85</v>
      </c>
      <c r="F753" s="4">
        <v>10</v>
      </c>
      <c r="G753" s="5">
        <v>2.82</v>
      </c>
      <c r="H753" s="4">
        <v>0</v>
      </c>
    </row>
    <row r="754" spans="1:8" x14ac:dyDescent="0.15">
      <c r="A754" s="1" t="s">
        <v>47</v>
      </c>
      <c r="B754" s="4">
        <v>1827</v>
      </c>
      <c r="C754" s="5">
        <v>100.01</v>
      </c>
      <c r="D754" s="4">
        <v>861</v>
      </c>
      <c r="E754" s="5">
        <v>100.00000000000001</v>
      </c>
      <c r="F754" s="4">
        <v>965</v>
      </c>
      <c r="G754" s="5">
        <v>100.01</v>
      </c>
      <c r="H754" s="4">
        <v>1</v>
      </c>
    </row>
    <row r="755" spans="1:8" x14ac:dyDescent="0.15">
      <c r="A755" s="2" t="s">
        <v>62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15">
      <c r="A756" s="2" t="s">
        <v>63</v>
      </c>
      <c r="B756" s="4">
        <v>318</v>
      </c>
      <c r="C756" s="5">
        <v>17.41</v>
      </c>
      <c r="D756" s="4">
        <v>68</v>
      </c>
      <c r="E756" s="5">
        <v>7.9</v>
      </c>
      <c r="F756" s="4">
        <v>250</v>
      </c>
      <c r="G756" s="5">
        <v>25.91</v>
      </c>
      <c r="H756" s="4">
        <v>0</v>
      </c>
    </row>
    <row r="757" spans="1:8" x14ac:dyDescent="0.15">
      <c r="A757" s="2" t="s">
        <v>64</v>
      </c>
      <c r="B757" s="4">
        <v>379</v>
      </c>
      <c r="C757" s="5">
        <v>20.74</v>
      </c>
      <c r="D757" s="4">
        <v>65</v>
      </c>
      <c r="E757" s="5">
        <v>7.55</v>
      </c>
      <c r="F757" s="4">
        <v>314</v>
      </c>
      <c r="G757" s="5">
        <v>32.54</v>
      </c>
      <c r="H757" s="4">
        <v>0</v>
      </c>
    </row>
    <row r="758" spans="1:8" x14ac:dyDescent="0.15">
      <c r="A758" s="2" t="s">
        <v>65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15">
      <c r="A759" s="2" t="s">
        <v>66</v>
      </c>
      <c r="B759" s="4">
        <v>6</v>
      </c>
      <c r="C759" s="5">
        <v>0.33</v>
      </c>
      <c r="D759" s="4">
        <v>1</v>
      </c>
      <c r="E759" s="5">
        <v>0.12</v>
      </c>
      <c r="F759" s="4">
        <v>5</v>
      </c>
      <c r="G759" s="5">
        <v>0.52</v>
      </c>
      <c r="H759" s="4">
        <v>0</v>
      </c>
    </row>
    <row r="760" spans="1:8" x14ac:dyDescent="0.15">
      <c r="A760" s="2" t="s">
        <v>67</v>
      </c>
      <c r="B760" s="4">
        <v>19</v>
      </c>
      <c r="C760" s="5">
        <v>1.04</v>
      </c>
      <c r="D760" s="4">
        <v>3</v>
      </c>
      <c r="E760" s="5">
        <v>0.35</v>
      </c>
      <c r="F760" s="4">
        <v>16</v>
      </c>
      <c r="G760" s="5">
        <v>1.66</v>
      </c>
      <c r="H760" s="4">
        <v>0</v>
      </c>
    </row>
    <row r="761" spans="1:8" x14ac:dyDescent="0.15">
      <c r="A761" s="2" t="s">
        <v>68</v>
      </c>
      <c r="B761" s="4">
        <v>228</v>
      </c>
      <c r="C761" s="5">
        <v>12.48</v>
      </c>
      <c r="D761" s="4">
        <v>85</v>
      </c>
      <c r="E761" s="5">
        <v>9.8699999999999992</v>
      </c>
      <c r="F761" s="4">
        <v>143</v>
      </c>
      <c r="G761" s="5">
        <v>14.82</v>
      </c>
      <c r="H761" s="4">
        <v>0</v>
      </c>
    </row>
    <row r="762" spans="1:8" x14ac:dyDescent="0.15">
      <c r="A762" s="2" t="s">
        <v>69</v>
      </c>
      <c r="B762" s="4">
        <v>4</v>
      </c>
      <c r="C762" s="5">
        <v>0.22</v>
      </c>
      <c r="D762" s="4">
        <v>0</v>
      </c>
      <c r="E762" s="5">
        <v>0</v>
      </c>
      <c r="F762" s="4">
        <v>4</v>
      </c>
      <c r="G762" s="5">
        <v>0.41</v>
      </c>
      <c r="H762" s="4">
        <v>0</v>
      </c>
    </row>
    <row r="763" spans="1:8" x14ac:dyDescent="0.15">
      <c r="A763" s="2" t="s">
        <v>70</v>
      </c>
      <c r="B763" s="4">
        <v>402</v>
      </c>
      <c r="C763" s="5">
        <v>22</v>
      </c>
      <c r="D763" s="4">
        <v>310</v>
      </c>
      <c r="E763" s="5">
        <v>36</v>
      </c>
      <c r="F763" s="4">
        <v>92</v>
      </c>
      <c r="G763" s="5">
        <v>9.5299999999999994</v>
      </c>
      <c r="H763" s="4">
        <v>0</v>
      </c>
    </row>
    <row r="764" spans="1:8" x14ac:dyDescent="0.15">
      <c r="A764" s="2" t="s">
        <v>71</v>
      </c>
      <c r="B764" s="4">
        <v>53</v>
      </c>
      <c r="C764" s="5">
        <v>2.9</v>
      </c>
      <c r="D764" s="4">
        <v>21</v>
      </c>
      <c r="E764" s="5">
        <v>2.44</v>
      </c>
      <c r="F764" s="4">
        <v>32</v>
      </c>
      <c r="G764" s="5">
        <v>3.32</v>
      </c>
      <c r="H764" s="4">
        <v>0</v>
      </c>
    </row>
    <row r="765" spans="1:8" x14ac:dyDescent="0.15">
      <c r="A765" s="2" t="s">
        <v>72</v>
      </c>
      <c r="B765" s="4">
        <v>107</v>
      </c>
      <c r="C765" s="5">
        <v>5.86</v>
      </c>
      <c r="D765" s="4">
        <v>85</v>
      </c>
      <c r="E765" s="5">
        <v>9.8699999999999992</v>
      </c>
      <c r="F765" s="4">
        <v>22</v>
      </c>
      <c r="G765" s="5">
        <v>2.2799999999999998</v>
      </c>
      <c r="H765" s="4">
        <v>0</v>
      </c>
    </row>
    <row r="766" spans="1:8" x14ac:dyDescent="0.15">
      <c r="A766" s="2" t="s">
        <v>73</v>
      </c>
      <c r="B766" s="4">
        <v>149</v>
      </c>
      <c r="C766" s="5">
        <v>8.16</v>
      </c>
      <c r="D766" s="4">
        <v>127</v>
      </c>
      <c r="E766" s="5">
        <v>14.75</v>
      </c>
      <c r="F766" s="4">
        <v>22</v>
      </c>
      <c r="G766" s="5">
        <v>2.2799999999999998</v>
      </c>
      <c r="H766" s="4">
        <v>0</v>
      </c>
    </row>
    <row r="767" spans="1:8" x14ac:dyDescent="0.15">
      <c r="A767" s="2" t="s">
        <v>74</v>
      </c>
      <c r="B767" s="4">
        <v>53</v>
      </c>
      <c r="C767" s="5">
        <v>2.9</v>
      </c>
      <c r="D767" s="4">
        <v>45</v>
      </c>
      <c r="E767" s="5">
        <v>5.23</v>
      </c>
      <c r="F767" s="4">
        <v>8</v>
      </c>
      <c r="G767" s="5">
        <v>0.83</v>
      </c>
      <c r="H767" s="4">
        <v>0</v>
      </c>
    </row>
    <row r="768" spans="1:8" x14ac:dyDescent="0.15">
      <c r="A768" s="2" t="s">
        <v>75</v>
      </c>
      <c r="B768" s="4">
        <v>44</v>
      </c>
      <c r="C768" s="5">
        <v>2.41</v>
      </c>
      <c r="D768" s="4">
        <v>25</v>
      </c>
      <c r="E768" s="5">
        <v>2.9</v>
      </c>
      <c r="F768" s="4">
        <v>18</v>
      </c>
      <c r="G768" s="5">
        <v>1.87</v>
      </c>
      <c r="H768" s="4">
        <v>1</v>
      </c>
    </row>
    <row r="769" spans="1:8" x14ac:dyDescent="0.15">
      <c r="A769" s="2" t="s">
        <v>76</v>
      </c>
      <c r="B769" s="4">
        <v>65</v>
      </c>
      <c r="C769" s="5">
        <v>3.56</v>
      </c>
      <c r="D769" s="4">
        <v>26</v>
      </c>
      <c r="E769" s="5">
        <v>3.02</v>
      </c>
      <c r="F769" s="4">
        <v>39</v>
      </c>
      <c r="G769" s="5">
        <v>4.04</v>
      </c>
      <c r="H769" s="4">
        <v>0</v>
      </c>
    </row>
    <row r="770" spans="1:8" x14ac:dyDescent="0.15">
      <c r="A770" s="1" t="s">
        <v>48</v>
      </c>
      <c r="B770" s="4">
        <v>613</v>
      </c>
      <c r="C770" s="5">
        <v>100</v>
      </c>
      <c r="D770" s="4">
        <v>271</v>
      </c>
      <c r="E770" s="5">
        <v>100</v>
      </c>
      <c r="F770" s="4">
        <v>338</v>
      </c>
      <c r="G770" s="5">
        <v>100</v>
      </c>
      <c r="H770" s="4">
        <v>4</v>
      </c>
    </row>
    <row r="771" spans="1:8" x14ac:dyDescent="0.15">
      <c r="A771" s="2" t="s">
        <v>62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15">
      <c r="A772" s="2" t="s">
        <v>63</v>
      </c>
      <c r="B772" s="4">
        <v>105</v>
      </c>
      <c r="C772" s="5">
        <v>17.13</v>
      </c>
      <c r="D772" s="4">
        <v>39</v>
      </c>
      <c r="E772" s="5">
        <v>14.39</v>
      </c>
      <c r="F772" s="4">
        <v>66</v>
      </c>
      <c r="G772" s="5">
        <v>19.53</v>
      </c>
      <c r="H772" s="4">
        <v>0</v>
      </c>
    </row>
    <row r="773" spans="1:8" x14ac:dyDescent="0.15">
      <c r="A773" s="2" t="s">
        <v>64</v>
      </c>
      <c r="B773" s="4">
        <v>18</v>
      </c>
      <c r="C773" s="5">
        <v>2.94</v>
      </c>
      <c r="D773" s="4">
        <v>6</v>
      </c>
      <c r="E773" s="5">
        <v>2.21</v>
      </c>
      <c r="F773" s="4">
        <v>12</v>
      </c>
      <c r="G773" s="5">
        <v>3.55</v>
      </c>
      <c r="H773" s="4">
        <v>0</v>
      </c>
    </row>
    <row r="774" spans="1:8" x14ac:dyDescent="0.15">
      <c r="A774" s="2" t="s">
        <v>65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15">
      <c r="A775" s="2" t="s">
        <v>66</v>
      </c>
      <c r="B775" s="4">
        <v>17</v>
      </c>
      <c r="C775" s="5">
        <v>2.77</v>
      </c>
      <c r="D775" s="4">
        <v>1</v>
      </c>
      <c r="E775" s="5">
        <v>0.37</v>
      </c>
      <c r="F775" s="4">
        <v>16</v>
      </c>
      <c r="G775" s="5">
        <v>4.7300000000000004</v>
      </c>
      <c r="H775" s="4">
        <v>0</v>
      </c>
    </row>
    <row r="776" spans="1:8" x14ac:dyDescent="0.15">
      <c r="A776" s="2" t="s">
        <v>67</v>
      </c>
      <c r="B776" s="4">
        <v>4</v>
      </c>
      <c r="C776" s="5">
        <v>0.65</v>
      </c>
      <c r="D776" s="4">
        <v>0</v>
      </c>
      <c r="E776" s="5">
        <v>0</v>
      </c>
      <c r="F776" s="4">
        <v>4</v>
      </c>
      <c r="G776" s="5">
        <v>1.18</v>
      </c>
      <c r="H776" s="4">
        <v>0</v>
      </c>
    </row>
    <row r="777" spans="1:8" x14ac:dyDescent="0.15">
      <c r="A777" s="2" t="s">
        <v>68</v>
      </c>
      <c r="B777" s="4">
        <v>168</v>
      </c>
      <c r="C777" s="5">
        <v>27.41</v>
      </c>
      <c r="D777" s="4">
        <v>81</v>
      </c>
      <c r="E777" s="5">
        <v>29.89</v>
      </c>
      <c r="F777" s="4">
        <v>87</v>
      </c>
      <c r="G777" s="5">
        <v>25.74</v>
      </c>
      <c r="H777" s="4">
        <v>0</v>
      </c>
    </row>
    <row r="778" spans="1:8" x14ac:dyDescent="0.15">
      <c r="A778" s="2" t="s">
        <v>69</v>
      </c>
      <c r="B778" s="4">
        <v>1</v>
      </c>
      <c r="C778" s="5">
        <v>0.16</v>
      </c>
      <c r="D778" s="4">
        <v>1</v>
      </c>
      <c r="E778" s="5">
        <v>0.37</v>
      </c>
      <c r="F778" s="4">
        <v>0</v>
      </c>
      <c r="G778" s="5">
        <v>0</v>
      </c>
      <c r="H778" s="4">
        <v>0</v>
      </c>
    </row>
    <row r="779" spans="1:8" x14ac:dyDescent="0.15">
      <c r="A779" s="2" t="s">
        <v>70</v>
      </c>
      <c r="B779" s="4">
        <v>56</v>
      </c>
      <c r="C779" s="5">
        <v>9.14</v>
      </c>
      <c r="D779" s="4">
        <v>9</v>
      </c>
      <c r="E779" s="5">
        <v>3.32</v>
      </c>
      <c r="F779" s="4">
        <v>46</v>
      </c>
      <c r="G779" s="5">
        <v>13.61</v>
      </c>
      <c r="H779" s="4">
        <v>1</v>
      </c>
    </row>
    <row r="780" spans="1:8" x14ac:dyDescent="0.15">
      <c r="A780" s="2" t="s">
        <v>71</v>
      </c>
      <c r="B780" s="4">
        <v>45</v>
      </c>
      <c r="C780" s="5">
        <v>7.34</v>
      </c>
      <c r="D780" s="4">
        <v>17</v>
      </c>
      <c r="E780" s="5">
        <v>6.27</v>
      </c>
      <c r="F780" s="4">
        <v>28</v>
      </c>
      <c r="G780" s="5">
        <v>8.2799999999999994</v>
      </c>
      <c r="H780" s="4">
        <v>0</v>
      </c>
    </row>
    <row r="781" spans="1:8" x14ac:dyDescent="0.15">
      <c r="A781" s="2" t="s">
        <v>72</v>
      </c>
      <c r="B781" s="4">
        <v>71</v>
      </c>
      <c r="C781" s="5">
        <v>11.58</v>
      </c>
      <c r="D781" s="4">
        <v>44</v>
      </c>
      <c r="E781" s="5">
        <v>16.239999999999998</v>
      </c>
      <c r="F781" s="4">
        <v>27</v>
      </c>
      <c r="G781" s="5">
        <v>7.99</v>
      </c>
      <c r="H781" s="4">
        <v>0</v>
      </c>
    </row>
    <row r="782" spans="1:8" x14ac:dyDescent="0.15">
      <c r="A782" s="2" t="s">
        <v>73</v>
      </c>
      <c r="B782" s="4">
        <v>69</v>
      </c>
      <c r="C782" s="5">
        <v>11.26</v>
      </c>
      <c r="D782" s="4">
        <v>47</v>
      </c>
      <c r="E782" s="5">
        <v>17.34</v>
      </c>
      <c r="F782" s="4">
        <v>22</v>
      </c>
      <c r="G782" s="5">
        <v>6.51</v>
      </c>
      <c r="H782" s="4">
        <v>0</v>
      </c>
    </row>
    <row r="783" spans="1:8" x14ac:dyDescent="0.15">
      <c r="A783" s="2" t="s">
        <v>74</v>
      </c>
      <c r="B783" s="4">
        <v>17</v>
      </c>
      <c r="C783" s="5">
        <v>2.77</v>
      </c>
      <c r="D783" s="4">
        <v>11</v>
      </c>
      <c r="E783" s="5">
        <v>4.0599999999999996</v>
      </c>
      <c r="F783" s="4">
        <v>6</v>
      </c>
      <c r="G783" s="5">
        <v>1.78</v>
      </c>
      <c r="H783" s="4">
        <v>0</v>
      </c>
    </row>
    <row r="784" spans="1:8" x14ac:dyDescent="0.15">
      <c r="A784" s="2" t="s">
        <v>75</v>
      </c>
      <c r="B784" s="4">
        <v>22</v>
      </c>
      <c r="C784" s="5">
        <v>3.59</v>
      </c>
      <c r="D784" s="4">
        <v>11</v>
      </c>
      <c r="E784" s="5">
        <v>4.0599999999999996</v>
      </c>
      <c r="F784" s="4">
        <v>10</v>
      </c>
      <c r="G784" s="5">
        <v>2.96</v>
      </c>
      <c r="H784" s="4">
        <v>1</v>
      </c>
    </row>
    <row r="785" spans="1:8" x14ac:dyDescent="0.15">
      <c r="A785" s="2" t="s">
        <v>76</v>
      </c>
      <c r="B785" s="4">
        <v>20</v>
      </c>
      <c r="C785" s="5">
        <v>3.26</v>
      </c>
      <c r="D785" s="4">
        <v>4</v>
      </c>
      <c r="E785" s="5">
        <v>1.48</v>
      </c>
      <c r="F785" s="4">
        <v>14</v>
      </c>
      <c r="G785" s="5">
        <v>4.1399999999999997</v>
      </c>
      <c r="H785" s="4">
        <v>2</v>
      </c>
    </row>
    <row r="786" spans="1:8" x14ac:dyDescent="0.15">
      <c r="A786" s="1" t="s">
        <v>49</v>
      </c>
      <c r="B786" s="4">
        <v>1100</v>
      </c>
      <c r="C786" s="5">
        <v>100</v>
      </c>
      <c r="D786" s="4">
        <v>566</v>
      </c>
      <c r="E786" s="5">
        <v>99.99</v>
      </c>
      <c r="F786" s="4">
        <v>533</v>
      </c>
      <c r="G786" s="5">
        <v>100.02</v>
      </c>
      <c r="H786" s="4">
        <v>1</v>
      </c>
    </row>
    <row r="787" spans="1:8" x14ac:dyDescent="0.15">
      <c r="A787" s="2" t="s">
        <v>62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15">
      <c r="A788" s="2" t="s">
        <v>63</v>
      </c>
      <c r="B788" s="4">
        <v>190</v>
      </c>
      <c r="C788" s="5">
        <v>17.27</v>
      </c>
      <c r="D788" s="4">
        <v>43</v>
      </c>
      <c r="E788" s="5">
        <v>7.6</v>
      </c>
      <c r="F788" s="4">
        <v>147</v>
      </c>
      <c r="G788" s="5">
        <v>27.58</v>
      </c>
      <c r="H788" s="4">
        <v>0</v>
      </c>
    </row>
    <row r="789" spans="1:8" x14ac:dyDescent="0.15">
      <c r="A789" s="2" t="s">
        <v>64</v>
      </c>
      <c r="B789" s="4">
        <v>139</v>
      </c>
      <c r="C789" s="5">
        <v>12.64</v>
      </c>
      <c r="D789" s="4">
        <v>28</v>
      </c>
      <c r="E789" s="5">
        <v>4.95</v>
      </c>
      <c r="F789" s="4">
        <v>111</v>
      </c>
      <c r="G789" s="5">
        <v>20.83</v>
      </c>
      <c r="H789" s="4">
        <v>0</v>
      </c>
    </row>
    <row r="790" spans="1:8" x14ac:dyDescent="0.15">
      <c r="A790" s="2" t="s">
        <v>65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15">
      <c r="A791" s="2" t="s">
        <v>66</v>
      </c>
      <c r="B791" s="4">
        <v>2</v>
      </c>
      <c r="C791" s="5">
        <v>0.18</v>
      </c>
      <c r="D791" s="4">
        <v>0</v>
      </c>
      <c r="E791" s="5">
        <v>0</v>
      </c>
      <c r="F791" s="4">
        <v>2</v>
      </c>
      <c r="G791" s="5">
        <v>0.38</v>
      </c>
      <c r="H791" s="4">
        <v>0</v>
      </c>
    </row>
    <row r="792" spans="1:8" x14ac:dyDescent="0.15">
      <c r="A792" s="2" t="s">
        <v>67</v>
      </c>
      <c r="B792" s="4">
        <v>22</v>
      </c>
      <c r="C792" s="5">
        <v>2</v>
      </c>
      <c r="D792" s="4">
        <v>8</v>
      </c>
      <c r="E792" s="5">
        <v>1.41</v>
      </c>
      <c r="F792" s="4">
        <v>14</v>
      </c>
      <c r="G792" s="5">
        <v>2.63</v>
      </c>
      <c r="H792" s="4">
        <v>0</v>
      </c>
    </row>
    <row r="793" spans="1:8" x14ac:dyDescent="0.15">
      <c r="A793" s="2" t="s">
        <v>68</v>
      </c>
      <c r="B793" s="4">
        <v>203</v>
      </c>
      <c r="C793" s="5">
        <v>18.45</v>
      </c>
      <c r="D793" s="4">
        <v>103</v>
      </c>
      <c r="E793" s="5">
        <v>18.2</v>
      </c>
      <c r="F793" s="4">
        <v>100</v>
      </c>
      <c r="G793" s="5">
        <v>18.760000000000002</v>
      </c>
      <c r="H793" s="4">
        <v>0</v>
      </c>
    </row>
    <row r="794" spans="1:8" x14ac:dyDescent="0.15">
      <c r="A794" s="2" t="s">
        <v>69</v>
      </c>
      <c r="B794" s="4">
        <v>0</v>
      </c>
      <c r="C794" s="5">
        <v>0</v>
      </c>
      <c r="D794" s="4">
        <v>0</v>
      </c>
      <c r="E794" s="5">
        <v>0</v>
      </c>
      <c r="F794" s="4">
        <v>0</v>
      </c>
      <c r="G794" s="5">
        <v>0</v>
      </c>
      <c r="H794" s="4">
        <v>0</v>
      </c>
    </row>
    <row r="795" spans="1:8" x14ac:dyDescent="0.15">
      <c r="A795" s="2" t="s">
        <v>70</v>
      </c>
      <c r="B795" s="4">
        <v>176</v>
      </c>
      <c r="C795" s="5">
        <v>16</v>
      </c>
      <c r="D795" s="4">
        <v>108</v>
      </c>
      <c r="E795" s="5">
        <v>19.079999999999998</v>
      </c>
      <c r="F795" s="4">
        <v>68</v>
      </c>
      <c r="G795" s="5">
        <v>12.76</v>
      </c>
      <c r="H795" s="4">
        <v>0</v>
      </c>
    </row>
    <row r="796" spans="1:8" x14ac:dyDescent="0.15">
      <c r="A796" s="2" t="s">
        <v>71</v>
      </c>
      <c r="B796" s="4">
        <v>28</v>
      </c>
      <c r="C796" s="5">
        <v>2.5499999999999998</v>
      </c>
      <c r="D796" s="4">
        <v>14</v>
      </c>
      <c r="E796" s="5">
        <v>2.4700000000000002</v>
      </c>
      <c r="F796" s="4">
        <v>14</v>
      </c>
      <c r="G796" s="5">
        <v>2.63</v>
      </c>
      <c r="H796" s="4">
        <v>0</v>
      </c>
    </row>
    <row r="797" spans="1:8" x14ac:dyDescent="0.15">
      <c r="A797" s="2" t="s">
        <v>72</v>
      </c>
      <c r="B797" s="4">
        <v>106</v>
      </c>
      <c r="C797" s="5">
        <v>9.64</v>
      </c>
      <c r="D797" s="4">
        <v>89</v>
      </c>
      <c r="E797" s="5">
        <v>15.72</v>
      </c>
      <c r="F797" s="4">
        <v>17</v>
      </c>
      <c r="G797" s="5">
        <v>3.19</v>
      </c>
      <c r="H797" s="4">
        <v>0</v>
      </c>
    </row>
    <row r="798" spans="1:8" x14ac:dyDescent="0.15">
      <c r="A798" s="2" t="s">
        <v>73</v>
      </c>
      <c r="B798" s="4">
        <v>104</v>
      </c>
      <c r="C798" s="5">
        <v>9.4499999999999993</v>
      </c>
      <c r="D798" s="4">
        <v>84</v>
      </c>
      <c r="E798" s="5">
        <v>14.84</v>
      </c>
      <c r="F798" s="4">
        <v>20</v>
      </c>
      <c r="G798" s="5">
        <v>3.75</v>
      </c>
      <c r="H798" s="4">
        <v>0</v>
      </c>
    </row>
    <row r="799" spans="1:8" x14ac:dyDescent="0.15">
      <c r="A799" s="2" t="s">
        <v>74</v>
      </c>
      <c r="B799" s="4">
        <v>47</v>
      </c>
      <c r="C799" s="5">
        <v>4.2699999999999996</v>
      </c>
      <c r="D799" s="4">
        <v>38</v>
      </c>
      <c r="E799" s="5">
        <v>6.71</v>
      </c>
      <c r="F799" s="4">
        <v>9</v>
      </c>
      <c r="G799" s="5">
        <v>1.69</v>
      </c>
      <c r="H799" s="4">
        <v>0</v>
      </c>
    </row>
    <row r="800" spans="1:8" x14ac:dyDescent="0.15">
      <c r="A800" s="2" t="s">
        <v>75</v>
      </c>
      <c r="B800" s="4">
        <v>39</v>
      </c>
      <c r="C800" s="5">
        <v>3.55</v>
      </c>
      <c r="D800" s="4">
        <v>33</v>
      </c>
      <c r="E800" s="5">
        <v>5.83</v>
      </c>
      <c r="F800" s="4">
        <v>5</v>
      </c>
      <c r="G800" s="5">
        <v>0.94</v>
      </c>
      <c r="H800" s="4">
        <v>1</v>
      </c>
    </row>
    <row r="801" spans="1:8" x14ac:dyDescent="0.15">
      <c r="A801" s="2" t="s">
        <v>76</v>
      </c>
      <c r="B801" s="4">
        <v>44</v>
      </c>
      <c r="C801" s="5">
        <v>4</v>
      </c>
      <c r="D801" s="4">
        <v>18</v>
      </c>
      <c r="E801" s="5">
        <v>3.18</v>
      </c>
      <c r="F801" s="4">
        <v>26</v>
      </c>
      <c r="G801" s="5">
        <v>4.88</v>
      </c>
      <c r="H801" s="4">
        <v>0</v>
      </c>
    </row>
    <row r="802" spans="1:8" x14ac:dyDescent="0.15">
      <c r="A802" s="1" t="s">
        <v>50</v>
      </c>
      <c r="B802" s="4">
        <v>763</v>
      </c>
      <c r="C802" s="5">
        <v>99.99</v>
      </c>
      <c r="D802" s="4">
        <v>501</v>
      </c>
      <c r="E802" s="5">
        <v>100.00999999999999</v>
      </c>
      <c r="F802" s="4">
        <v>260</v>
      </c>
      <c r="G802" s="5">
        <v>99.989999999999981</v>
      </c>
      <c r="H802" s="4">
        <v>2</v>
      </c>
    </row>
    <row r="803" spans="1:8" x14ac:dyDescent="0.15">
      <c r="A803" s="2" t="s">
        <v>62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15">
      <c r="A804" s="2" t="s">
        <v>63</v>
      </c>
      <c r="B804" s="4">
        <v>77</v>
      </c>
      <c r="C804" s="5">
        <v>10.09</v>
      </c>
      <c r="D804" s="4">
        <v>31</v>
      </c>
      <c r="E804" s="5">
        <v>6.19</v>
      </c>
      <c r="F804" s="4">
        <v>46</v>
      </c>
      <c r="G804" s="5">
        <v>17.690000000000001</v>
      </c>
      <c r="H804" s="4">
        <v>0</v>
      </c>
    </row>
    <row r="805" spans="1:8" x14ac:dyDescent="0.15">
      <c r="A805" s="2" t="s">
        <v>64</v>
      </c>
      <c r="B805" s="4">
        <v>38</v>
      </c>
      <c r="C805" s="5">
        <v>4.9800000000000004</v>
      </c>
      <c r="D805" s="4">
        <v>8</v>
      </c>
      <c r="E805" s="5">
        <v>1.6</v>
      </c>
      <c r="F805" s="4">
        <v>30</v>
      </c>
      <c r="G805" s="5">
        <v>11.54</v>
      </c>
      <c r="H805" s="4">
        <v>0</v>
      </c>
    </row>
    <row r="806" spans="1:8" x14ac:dyDescent="0.15">
      <c r="A806" s="2" t="s">
        <v>65</v>
      </c>
      <c r="B806" s="4">
        <v>1</v>
      </c>
      <c r="C806" s="5">
        <v>0.13</v>
      </c>
      <c r="D806" s="4">
        <v>0</v>
      </c>
      <c r="E806" s="5">
        <v>0</v>
      </c>
      <c r="F806" s="4">
        <v>1</v>
      </c>
      <c r="G806" s="5">
        <v>0.38</v>
      </c>
      <c r="H806" s="4">
        <v>0</v>
      </c>
    </row>
    <row r="807" spans="1:8" x14ac:dyDescent="0.15">
      <c r="A807" s="2" t="s">
        <v>66</v>
      </c>
      <c r="B807" s="4">
        <v>12</v>
      </c>
      <c r="C807" s="5">
        <v>1.57</v>
      </c>
      <c r="D807" s="4">
        <v>2</v>
      </c>
      <c r="E807" s="5">
        <v>0.4</v>
      </c>
      <c r="F807" s="4">
        <v>10</v>
      </c>
      <c r="G807" s="5">
        <v>3.85</v>
      </c>
      <c r="H807" s="4">
        <v>0</v>
      </c>
    </row>
    <row r="808" spans="1:8" x14ac:dyDescent="0.15">
      <c r="A808" s="2" t="s">
        <v>67</v>
      </c>
      <c r="B808" s="4">
        <v>6</v>
      </c>
      <c r="C808" s="5">
        <v>0.79</v>
      </c>
      <c r="D808" s="4">
        <v>0</v>
      </c>
      <c r="E808" s="5">
        <v>0</v>
      </c>
      <c r="F808" s="4">
        <v>6</v>
      </c>
      <c r="G808" s="5">
        <v>2.31</v>
      </c>
      <c r="H808" s="4">
        <v>0</v>
      </c>
    </row>
    <row r="809" spans="1:8" x14ac:dyDescent="0.15">
      <c r="A809" s="2" t="s">
        <v>68</v>
      </c>
      <c r="B809" s="4">
        <v>160</v>
      </c>
      <c r="C809" s="5">
        <v>20.97</v>
      </c>
      <c r="D809" s="4">
        <v>99</v>
      </c>
      <c r="E809" s="5">
        <v>19.760000000000002</v>
      </c>
      <c r="F809" s="4">
        <v>60</v>
      </c>
      <c r="G809" s="5">
        <v>23.08</v>
      </c>
      <c r="H809" s="4">
        <v>1</v>
      </c>
    </row>
    <row r="810" spans="1:8" x14ac:dyDescent="0.15">
      <c r="A810" s="2" t="s">
        <v>69</v>
      </c>
      <c r="B810" s="4">
        <v>7</v>
      </c>
      <c r="C810" s="5">
        <v>0.92</v>
      </c>
      <c r="D810" s="4">
        <v>2</v>
      </c>
      <c r="E810" s="5">
        <v>0.4</v>
      </c>
      <c r="F810" s="4">
        <v>5</v>
      </c>
      <c r="G810" s="5">
        <v>1.92</v>
      </c>
      <c r="H810" s="4">
        <v>0</v>
      </c>
    </row>
    <row r="811" spans="1:8" x14ac:dyDescent="0.15">
      <c r="A811" s="2" t="s">
        <v>70</v>
      </c>
      <c r="B811" s="4">
        <v>217</v>
      </c>
      <c r="C811" s="5">
        <v>28.44</v>
      </c>
      <c r="D811" s="4">
        <v>177</v>
      </c>
      <c r="E811" s="5">
        <v>35.33</v>
      </c>
      <c r="F811" s="4">
        <v>40</v>
      </c>
      <c r="G811" s="5">
        <v>15.38</v>
      </c>
      <c r="H811" s="4">
        <v>0</v>
      </c>
    </row>
    <row r="812" spans="1:8" x14ac:dyDescent="0.15">
      <c r="A812" s="2" t="s">
        <v>71</v>
      </c>
      <c r="B812" s="4">
        <v>41</v>
      </c>
      <c r="C812" s="5">
        <v>5.37</v>
      </c>
      <c r="D812" s="4">
        <v>23</v>
      </c>
      <c r="E812" s="5">
        <v>4.59</v>
      </c>
      <c r="F812" s="4">
        <v>18</v>
      </c>
      <c r="G812" s="5">
        <v>6.92</v>
      </c>
      <c r="H812" s="4">
        <v>0</v>
      </c>
    </row>
    <row r="813" spans="1:8" x14ac:dyDescent="0.15">
      <c r="A813" s="2" t="s">
        <v>72</v>
      </c>
      <c r="B813" s="4">
        <v>51</v>
      </c>
      <c r="C813" s="5">
        <v>6.68</v>
      </c>
      <c r="D813" s="4">
        <v>42</v>
      </c>
      <c r="E813" s="5">
        <v>8.3800000000000008</v>
      </c>
      <c r="F813" s="4">
        <v>9</v>
      </c>
      <c r="G813" s="5">
        <v>3.46</v>
      </c>
      <c r="H813" s="4">
        <v>0</v>
      </c>
    </row>
    <row r="814" spans="1:8" x14ac:dyDescent="0.15">
      <c r="A814" s="2" t="s">
        <v>73</v>
      </c>
      <c r="B814" s="4">
        <v>60</v>
      </c>
      <c r="C814" s="5">
        <v>7.86</v>
      </c>
      <c r="D814" s="4">
        <v>46</v>
      </c>
      <c r="E814" s="5">
        <v>9.18</v>
      </c>
      <c r="F814" s="4">
        <v>14</v>
      </c>
      <c r="G814" s="5">
        <v>5.38</v>
      </c>
      <c r="H814" s="4">
        <v>0</v>
      </c>
    </row>
    <row r="815" spans="1:8" x14ac:dyDescent="0.15">
      <c r="A815" s="2" t="s">
        <v>74</v>
      </c>
      <c r="B815" s="4">
        <v>46</v>
      </c>
      <c r="C815" s="5">
        <v>6.03</v>
      </c>
      <c r="D815" s="4">
        <v>36</v>
      </c>
      <c r="E815" s="5">
        <v>7.19</v>
      </c>
      <c r="F815" s="4">
        <v>9</v>
      </c>
      <c r="G815" s="5">
        <v>3.46</v>
      </c>
      <c r="H815" s="4">
        <v>1</v>
      </c>
    </row>
    <row r="816" spans="1:8" x14ac:dyDescent="0.15">
      <c r="A816" s="2" t="s">
        <v>75</v>
      </c>
      <c r="B816" s="4">
        <v>31</v>
      </c>
      <c r="C816" s="5">
        <v>4.0599999999999996</v>
      </c>
      <c r="D816" s="4">
        <v>29</v>
      </c>
      <c r="E816" s="5">
        <v>5.79</v>
      </c>
      <c r="F816" s="4">
        <v>2</v>
      </c>
      <c r="G816" s="5">
        <v>0.77</v>
      </c>
      <c r="H816" s="4">
        <v>0</v>
      </c>
    </row>
    <row r="817" spans="1:8" x14ac:dyDescent="0.15">
      <c r="A817" s="2" t="s">
        <v>76</v>
      </c>
      <c r="B817" s="4">
        <v>16</v>
      </c>
      <c r="C817" s="5">
        <v>2.1</v>
      </c>
      <c r="D817" s="4">
        <v>6</v>
      </c>
      <c r="E817" s="5">
        <v>1.2</v>
      </c>
      <c r="F817" s="4">
        <v>10</v>
      </c>
      <c r="G817" s="5">
        <v>3.85</v>
      </c>
      <c r="H817" s="4">
        <v>0</v>
      </c>
    </row>
    <row r="818" spans="1:8" x14ac:dyDescent="0.15">
      <c r="A818" s="1" t="s">
        <v>51</v>
      </c>
      <c r="B818" s="4">
        <v>612</v>
      </c>
      <c r="C818" s="5">
        <v>100.00000000000001</v>
      </c>
      <c r="D818" s="4">
        <v>376</v>
      </c>
      <c r="E818" s="5">
        <v>100.00999999999999</v>
      </c>
      <c r="F818" s="4">
        <v>235</v>
      </c>
      <c r="G818" s="5">
        <v>100.01000000000002</v>
      </c>
      <c r="H818" s="4">
        <v>1</v>
      </c>
    </row>
    <row r="819" spans="1:8" x14ac:dyDescent="0.15">
      <c r="A819" s="2" t="s">
        <v>62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15">
      <c r="A820" s="2" t="s">
        <v>63</v>
      </c>
      <c r="B820" s="4">
        <v>56</v>
      </c>
      <c r="C820" s="5">
        <v>9.15</v>
      </c>
      <c r="D820" s="4">
        <v>18</v>
      </c>
      <c r="E820" s="5">
        <v>4.79</v>
      </c>
      <c r="F820" s="4">
        <v>38</v>
      </c>
      <c r="G820" s="5">
        <v>16.170000000000002</v>
      </c>
      <c r="H820" s="4">
        <v>0</v>
      </c>
    </row>
    <row r="821" spans="1:8" x14ac:dyDescent="0.15">
      <c r="A821" s="2" t="s">
        <v>64</v>
      </c>
      <c r="B821" s="4">
        <v>29</v>
      </c>
      <c r="C821" s="5">
        <v>4.74</v>
      </c>
      <c r="D821" s="4">
        <v>3</v>
      </c>
      <c r="E821" s="5">
        <v>0.8</v>
      </c>
      <c r="F821" s="4">
        <v>26</v>
      </c>
      <c r="G821" s="5">
        <v>11.06</v>
      </c>
      <c r="H821" s="4">
        <v>0</v>
      </c>
    </row>
    <row r="822" spans="1:8" x14ac:dyDescent="0.15">
      <c r="A822" s="2" t="s">
        <v>65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15">
      <c r="A823" s="2" t="s">
        <v>66</v>
      </c>
      <c r="B823" s="4">
        <v>3</v>
      </c>
      <c r="C823" s="5">
        <v>0.49</v>
      </c>
      <c r="D823" s="4">
        <v>0</v>
      </c>
      <c r="E823" s="5">
        <v>0</v>
      </c>
      <c r="F823" s="4">
        <v>3</v>
      </c>
      <c r="G823" s="5">
        <v>1.28</v>
      </c>
      <c r="H823" s="4">
        <v>0</v>
      </c>
    </row>
    <row r="824" spans="1:8" x14ac:dyDescent="0.15">
      <c r="A824" s="2" t="s">
        <v>67</v>
      </c>
      <c r="B824" s="4">
        <v>2</v>
      </c>
      <c r="C824" s="5">
        <v>0.33</v>
      </c>
      <c r="D824" s="4">
        <v>0</v>
      </c>
      <c r="E824" s="5">
        <v>0</v>
      </c>
      <c r="F824" s="4">
        <v>1</v>
      </c>
      <c r="G824" s="5">
        <v>0.43</v>
      </c>
      <c r="H824" s="4">
        <v>1</v>
      </c>
    </row>
    <row r="825" spans="1:8" x14ac:dyDescent="0.15">
      <c r="A825" s="2" t="s">
        <v>68</v>
      </c>
      <c r="B825" s="4">
        <v>148</v>
      </c>
      <c r="C825" s="5">
        <v>24.18</v>
      </c>
      <c r="D825" s="4">
        <v>82</v>
      </c>
      <c r="E825" s="5">
        <v>21.81</v>
      </c>
      <c r="F825" s="4">
        <v>66</v>
      </c>
      <c r="G825" s="5">
        <v>28.09</v>
      </c>
      <c r="H825" s="4">
        <v>0</v>
      </c>
    </row>
    <row r="826" spans="1:8" x14ac:dyDescent="0.15">
      <c r="A826" s="2" t="s">
        <v>69</v>
      </c>
      <c r="B826" s="4">
        <v>2</v>
      </c>
      <c r="C826" s="5">
        <v>0.33</v>
      </c>
      <c r="D826" s="4">
        <v>1</v>
      </c>
      <c r="E826" s="5">
        <v>0.27</v>
      </c>
      <c r="F826" s="4">
        <v>1</v>
      </c>
      <c r="G826" s="5">
        <v>0.43</v>
      </c>
      <c r="H826" s="4">
        <v>0</v>
      </c>
    </row>
    <row r="827" spans="1:8" x14ac:dyDescent="0.15">
      <c r="A827" s="2" t="s">
        <v>70</v>
      </c>
      <c r="B827" s="4">
        <v>132</v>
      </c>
      <c r="C827" s="5">
        <v>21.57</v>
      </c>
      <c r="D827" s="4">
        <v>101</v>
      </c>
      <c r="E827" s="5">
        <v>26.86</v>
      </c>
      <c r="F827" s="4">
        <v>31</v>
      </c>
      <c r="G827" s="5">
        <v>13.19</v>
      </c>
      <c r="H827" s="4">
        <v>0</v>
      </c>
    </row>
    <row r="828" spans="1:8" x14ac:dyDescent="0.15">
      <c r="A828" s="2" t="s">
        <v>71</v>
      </c>
      <c r="B828" s="4">
        <v>28</v>
      </c>
      <c r="C828" s="5">
        <v>4.58</v>
      </c>
      <c r="D828" s="4">
        <v>12</v>
      </c>
      <c r="E828" s="5">
        <v>3.19</v>
      </c>
      <c r="F828" s="4">
        <v>16</v>
      </c>
      <c r="G828" s="5">
        <v>6.81</v>
      </c>
      <c r="H828" s="4">
        <v>0</v>
      </c>
    </row>
    <row r="829" spans="1:8" x14ac:dyDescent="0.15">
      <c r="A829" s="2" t="s">
        <v>72</v>
      </c>
      <c r="B829" s="4">
        <v>57</v>
      </c>
      <c r="C829" s="5">
        <v>9.31</v>
      </c>
      <c r="D829" s="4">
        <v>45</v>
      </c>
      <c r="E829" s="5">
        <v>11.97</v>
      </c>
      <c r="F829" s="4">
        <v>12</v>
      </c>
      <c r="G829" s="5">
        <v>5.1100000000000003</v>
      </c>
      <c r="H829" s="4">
        <v>0</v>
      </c>
    </row>
    <row r="830" spans="1:8" x14ac:dyDescent="0.15">
      <c r="A830" s="2" t="s">
        <v>73</v>
      </c>
      <c r="B830" s="4">
        <v>72</v>
      </c>
      <c r="C830" s="5">
        <v>11.76</v>
      </c>
      <c r="D830" s="4">
        <v>55</v>
      </c>
      <c r="E830" s="5">
        <v>14.63</v>
      </c>
      <c r="F830" s="4">
        <v>17</v>
      </c>
      <c r="G830" s="5">
        <v>7.23</v>
      </c>
      <c r="H830" s="4">
        <v>0</v>
      </c>
    </row>
    <row r="831" spans="1:8" x14ac:dyDescent="0.15">
      <c r="A831" s="2" t="s">
        <v>74</v>
      </c>
      <c r="B831" s="4">
        <v>39</v>
      </c>
      <c r="C831" s="5">
        <v>6.37</v>
      </c>
      <c r="D831" s="4">
        <v>31</v>
      </c>
      <c r="E831" s="5">
        <v>8.24</v>
      </c>
      <c r="F831" s="4">
        <v>8</v>
      </c>
      <c r="G831" s="5">
        <v>3.4</v>
      </c>
      <c r="H831" s="4">
        <v>0</v>
      </c>
    </row>
    <row r="832" spans="1:8" x14ac:dyDescent="0.15">
      <c r="A832" s="2" t="s">
        <v>75</v>
      </c>
      <c r="B832" s="4">
        <v>34</v>
      </c>
      <c r="C832" s="5">
        <v>5.56</v>
      </c>
      <c r="D832" s="4">
        <v>25</v>
      </c>
      <c r="E832" s="5">
        <v>6.65</v>
      </c>
      <c r="F832" s="4">
        <v>9</v>
      </c>
      <c r="G832" s="5">
        <v>3.83</v>
      </c>
      <c r="H832" s="4">
        <v>0</v>
      </c>
    </row>
    <row r="833" spans="1:8" x14ac:dyDescent="0.15">
      <c r="A833" s="2" t="s">
        <v>76</v>
      </c>
      <c r="B833" s="4">
        <v>10</v>
      </c>
      <c r="C833" s="5">
        <v>1.63</v>
      </c>
      <c r="D833" s="4">
        <v>3</v>
      </c>
      <c r="E833" s="5">
        <v>0.8</v>
      </c>
      <c r="F833" s="4">
        <v>7</v>
      </c>
      <c r="G833" s="5">
        <v>2.98</v>
      </c>
      <c r="H833" s="4">
        <v>0</v>
      </c>
    </row>
    <row r="834" spans="1:8" x14ac:dyDescent="0.15">
      <c r="A834" s="1" t="s">
        <v>52</v>
      </c>
      <c r="B834" s="4">
        <v>253</v>
      </c>
      <c r="C834" s="5">
        <v>100.01</v>
      </c>
      <c r="D834" s="4">
        <v>99</v>
      </c>
      <c r="E834" s="5">
        <v>99.990000000000023</v>
      </c>
      <c r="F834" s="4">
        <v>154</v>
      </c>
      <c r="G834" s="5">
        <v>100.02000000000001</v>
      </c>
      <c r="H834" s="4">
        <v>0</v>
      </c>
    </row>
    <row r="835" spans="1:8" x14ac:dyDescent="0.15">
      <c r="A835" s="2" t="s">
        <v>62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15">
      <c r="A836" s="2" t="s">
        <v>63</v>
      </c>
      <c r="B836" s="4">
        <v>64</v>
      </c>
      <c r="C836" s="5">
        <v>25.3</v>
      </c>
      <c r="D836" s="4">
        <v>18</v>
      </c>
      <c r="E836" s="5">
        <v>18.18</v>
      </c>
      <c r="F836" s="4">
        <v>46</v>
      </c>
      <c r="G836" s="5">
        <v>29.87</v>
      </c>
      <c r="H836" s="4">
        <v>0</v>
      </c>
    </row>
    <row r="837" spans="1:8" x14ac:dyDescent="0.15">
      <c r="A837" s="2" t="s">
        <v>64</v>
      </c>
      <c r="B837" s="4">
        <v>45</v>
      </c>
      <c r="C837" s="5">
        <v>17.79</v>
      </c>
      <c r="D837" s="4">
        <v>11</v>
      </c>
      <c r="E837" s="5">
        <v>11.11</v>
      </c>
      <c r="F837" s="4">
        <v>34</v>
      </c>
      <c r="G837" s="5">
        <v>22.08</v>
      </c>
      <c r="H837" s="4">
        <v>0</v>
      </c>
    </row>
    <row r="838" spans="1:8" x14ac:dyDescent="0.15">
      <c r="A838" s="2" t="s">
        <v>65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15">
      <c r="A839" s="2" t="s">
        <v>66</v>
      </c>
      <c r="B839" s="4">
        <v>2</v>
      </c>
      <c r="C839" s="5">
        <v>0.79</v>
      </c>
      <c r="D839" s="4">
        <v>0</v>
      </c>
      <c r="E839" s="5">
        <v>0</v>
      </c>
      <c r="F839" s="4">
        <v>2</v>
      </c>
      <c r="G839" s="5">
        <v>1.3</v>
      </c>
      <c r="H839" s="4">
        <v>0</v>
      </c>
    </row>
    <row r="840" spans="1:8" x14ac:dyDescent="0.15">
      <c r="A840" s="2" t="s">
        <v>67</v>
      </c>
      <c r="B840" s="4">
        <v>2</v>
      </c>
      <c r="C840" s="5">
        <v>0.79</v>
      </c>
      <c r="D840" s="4">
        <v>0</v>
      </c>
      <c r="E840" s="5">
        <v>0</v>
      </c>
      <c r="F840" s="4">
        <v>2</v>
      </c>
      <c r="G840" s="5">
        <v>1.3</v>
      </c>
      <c r="H840" s="4">
        <v>0</v>
      </c>
    </row>
    <row r="841" spans="1:8" x14ac:dyDescent="0.15">
      <c r="A841" s="2" t="s">
        <v>68</v>
      </c>
      <c r="B841" s="4">
        <v>55</v>
      </c>
      <c r="C841" s="5">
        <v>21.74</v>
      </c>
      <c r="D841" s="4">
        <v>21</v>
      </c>
      <c r="E841" s="5">
        <v>21.21</v>
      </c>
      <c r="F841" s="4">
        <v>34</v>
      </c>
      <c r="G841" s="5">
        <v>22.08</v>
      </c>
      <c r="H841" s="4">
        <v>0</v>
      </c>
    </row>
    <row r="842" spans="1:8" x14ac:dyDescent="0.15">
      <c r="A842" s="2" t="s">
        <v>69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15">
      <c r="A843" s="2" t="s">
        <v>70</v>
      </c>
      <c r="B843" s="4">
        <v>29</v>
      </c>
      <c r="C843" s="5">
        <v>11.46</v>
      </c>
      <c r="D843" s="4">
        <v>14</v>
      </c>
      <c r="E843" s="5">
        <v>14.14</v>
      </c>
      <c r="F843" s="4">
        <v>15</v>
      </c>
      <c r="G843" s="5">
        <v>9.74</v>
      </c>
      <c r="H843" s="4">
        <v>0</v>
      </c>
    </row>
    <row r="844" spans="1:8" x14ac:dyDescent="0.15">
      <c r="A844" s="2" t="s">
        <v>71</v>
      </c>
      <c r="B844" s="4">
        <v>7</v>
      </c>
      <c r="C844" s="5">
        <v>2.77</v>
      </c>
      <c r="D844" s="4">
        <v>1</v>
      </c>
      <c r="E844" s="5">
        <v>1.01</v>
      </c>
      <c r="F844" s="4">
        <v>6</v>
      </c>
      <c r="G844" s="5">
        <v>3.9</v>
      </c>
      <c r="H844" s="4">
        <v>0</v>
      </c>
    </row>
    <row r="845" spans="1:8" x14ac:dyDescent="0.15">
      <c r="A845" s="2" t="s">
        <v>72</v>
      </c>
      <c r="B845" s="4">
        <v>10</v>
      </c>
      <c r="C845" s="5">
        <v>3.95</v>
      </c>
      <c r="D845" s="4">
        <v>6</v>
      </c>
      <c r="E845" s="5">
        <v>6.06</v>
      </c>
      <c r="F845" s="4">
        <v>4</v>
      </c>
      <c r="G845" s="5">
        <v>2.6</v>
      </c>
      <c r="H845" s="4">
        <v>0</v>
      </c>
    </row>
    <row r="846" spans="1:8" x14ac:dyDescent="0.15">
      <c r="A846" s="2" t="s">
        <v>73</v>
      </c>
      <c r="B846" s="4">
        <v>21</v>
      </c>
      <c r="C846" s="5">
        <v>8.3000000000000007</v>
      </c>
      <c r="D846" s="4">
        <v>18</v>
      </c>
      <c r="E846" s="5">
        <v>18.18</v>
      </c>
      <c r="F846" s="4">
        <v>3</v>
      </c>
      <c r="G846" s="5">
        <v>1.95</v>
      </c>
      <c r="H846" s="4">
        <v>0</v>
      </c>
    </row>
    <row r="847" spans="1:8" x14ac:dyDescent="0.15">
      <c r="A847" s="2" t="s">
        <v>74</v>
      </c>
      <c r="B847" s="4">
        <v>4</v>
      </c>
      <c r="C847" s="5">
        <v>1.58</v>
      </c>
      <c r="D847" s="4">
        <v>3</v>
      </c>
      <c r="E847" s="5">
        <v>3.03</v>
      </c>
      <c r="F847" s="4">
        <v>1</v>
      </c>
      <c r="G847" s="5">
        <v>0.65</v>
      </c>
      <c r="H847" s="4">
        <v>0</v>
      </c>
    </row>
    <row r="848" spans="1:8" x14ac:dyDescent="0.15">
      <c r="A848" s="2" t="s">
        <v>75</v>
      </c>
      <c r="B848" s="4">
        <v>5</v>
      </c>
      <c r="C848" s="5">
        <v>1.98</v>
      </c>
      <c r="D848" s="4">
        <v>4</v>
      </c>
      <c r="E848" s="5">
        <v>4.04</v>
      </c>
      <c r="F848" s="4">
        <v>1</v>
      </c>
      <c r="G848" s="5">
        <v>0.65</v>
      </c>
      <c r="H848" s="4">
        <v>0</v>
      </c>
    </row>
    <row r="849" spans="1:8" x14ac:dyDescent="0.15">
      <c r="A849" s="2" t="s">
        <v>76</v>
      </c>
      <c r="B849" s="4">
        <v>9</v>
      </c>
      <c r="C849" s="5">
        <v>3.56</v>
      </c>
      <c r="D849" s="4">
        <v>3</v>
      </c>
      <c r="E849" s="5">
        <v>3.03</v>
      </c>
      <c r="F849" s="4">
        <v>6</v>
      </c>
      <c r="G849" s="5">
        <v>3.9</v>
      </c>
      <c r="H849" s="4">
        <v>0</v>
      </c>
    </row>
    <row r="850" spans="1:8" x14ac:dyDescent="0.15">
      <c r="A850" s="1" t="s">
        <v>53</v>
      </c>
      <c r="B850" s="4">
        <v>421</v>
      </c>
      <c r="C850" s="5">
        <v>100.02</v>
      </c>
      <c r="D850" s="4">
        <v>254</v>
      </c>
      <c r="E850" s="5">
        <v>100</v>
      </c>
      <c r="F850" s="4">
        <v>166</v>
      </c>
      <c r="G850" s="5">
        <v>100.00999999999999</v>
      </c>
      <c r="H850" s="4">
        <v>1</v>
      </c>
    </row>
    <row r="851" spans="1:8" x14ac:dyDescent="0.15">
      <c r="A851" s="2" t="s">
        <v>62</v>
      </c>
      <c r="B851" s="4">
        <v>1</v>
      </c>
      <c r="C851" s="5">
        <v>0.24</v>
      </c>
      <c r="D851" s="4">
        <v>0</v>
      </c>
      <c r="E851" s="5">
        <v>0</v>
      </c>
      <c r="F851" s="4">
        <v>1</v>
      </c>
      <c r="G851" s="5">
        <v>0.6</v>
      </c>
      <c r="H851" s="4">
        <v>0</v>
      </c>
    </row>
    <row r="852" spans="1:8" x14ac:dyDescent="0.15">
      <c r="A852" s="2" t="s">
        <v>63</v>
      </c>
      <c r="B852" s="4">
        <v>77</v>
      </c>
      <c r="C852" s="5">
        <v>18.29</v>
      </c>
      <c r="D852" s="4">
        <v>29</v>
      </c>
      <c r="E852" s="5">
        <v>11.42</v>
      </c>
      <c r="F852" s="4">
        <v>48</v>
      </c>
      <c r="G852" s="5">
        <v>28.92</v>
      </c>
      <c r="H852" s="4">
        <v>0</v>
      </c>
    </row>
    <row r="853" spans="1:8" x14ac:dyDescent="0.15">
      <c r="A853" s="2" t="s">
        <v>64</v>
      </c>
      <c r="B853" s="4">
        <v>28</v>
      </c>
      <c r="C853" s="5">
        <v>6.65</v>
      </c>
      <c r="D853" s="4">
        <v>9</v>
      </c>
      <c r="E853" s="5">
        <v>3.54</v>
      </c>
      <c r="F853" s="4">
        <v>19</v>
      </c>
      <c r="G853" s="5">
        <v>11.45</v>
      </c>
      <c r="H853" s="4">
        <v>0</v>
      </c>
    </row>
    <row r="854" spans="1:8" x14ac:dyDescent="0.15">
      <c r="A854" s="2" t="s">
        <v>65</v>
      </c>
      <c r="B854" s="4">
        <v>0</v>
      </c>
      <c r="C854" s="5">
        <v>0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15">
      <c r="A855" s="2" t="s">
        <v>66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15">
      <c r="A856" s="2" t="s">
        <v>67</v>
      </c>
      <c r="B856" s="4">
        <v>7</v>
      </c>
      <c r="C856" s="5">
        <v>1.66</v>
      </c>
      <c r="D856" s="4">
        <v>1</v>
      </c>
      <c r="E856" s="5">
        <v>0.39</v>
      </c>
      <c r="F856" s="4">
        <v>6</v>
      </c>
      <c r="G856" s="5">
        <v>3.61</v>
      </c>
      <c r="H856" s="4">
        <v>0</v>
      </c>
    </row>
    <row r="857" spans="1:8" x14ac:dyDescent="0.15">
      <c r="A857" s="2" t="s">
        <v>68</v>
      </c>
      <c r="B857" s="4">
        <v>66</v>
      </c>
      <c r="C857" s="5">
        <v>15.68</v>
      </c>
      <c r="D857" s="4">
        <v>41</v>
      </c>
      <c r="E857" s="5">
        <v>16.14</v>
      </c>
      <c r="F857" s="4">
        <v>25</v>
      </c>
      <c r="G857" s="5">
        <v>15.06</v>
      </c>
      <c r="H857" s="4">
        <v>0</v>
      </c>
    </row>
    <row r="858" spans="1:8" x14ac:dyDescent="0.15">
      <c r="A858" s="2" t="s">
        <v>69</v>
      </c>
      <c r="B858" s="4">
        <v>1</v>
      </c>
      <c r="C858" s="5">
        <v>0.24</v>
      </c>
      <c r="D858" s="4">
        <v>0</v>
      </c>
      <c r="E858" s="5">
        <v>0</v>
      </c>
      <c r="F858" s="4">
        <v>1</v>
      </c>
      <c r="G858" s="5">
        <v>0.6</v>
      </c>
      <c r="H858" s="4">
        <v>0</v>
      </c>
    </row>
    <row r="859" spans="1:8" x14ac:dyDescent="0.15">
      <c r="A859" s="2" t="s">
        <v>70</v>
      </c>
      <c r="B859" s="4">
        <v>102</v>
      </c>
      <c r="C859" s="5">
        <v>24.23</v>
      </c>
      <c r="D859" s="4">
        <v>75</v>
      </c>
      <c r="E859" s="5">
        <v>29.53</v>
      </c>
      <c r="F859" s="4">
        <v>27</v>
      </c>
      <c r="G859" s="5">
        <v>16.27</v>
      </c>
      <c r="H859" s="4">
        <v>0</v>
      </c>
    </row>
    <row r="860" spans="1:8" x14ac:dyDescent="0.15">
      <c r="A860" s="2" t="s">
        <v>71</v>
      </c>
      <c r="B860" s="4">
        <v>13</v>
      </c>
      <c r="C860" s="5">
        <v>3.09</v>
      </c>
      <c r="D860" s="4">
        <v>6</v>
      </c>
      <c r="E860" s="5">
        <v>2.36</v>
      </c>
      <c r="F860" s="4">
        <v>7</v>
      </c>
      <c r="G860" s="5">
        <v>4.22</v>
      </c>
      <c r="H860" s="4">
        <v>0</v>
      </c>
    </row>
    <row r="861" spans="1:8" x14ac:dyDescent="0.15">
      <c r="A861" s="2" t="s">
        <v>72</v>
      </c>
      <c r="B861" s="4">
        <v>46</v>
      </c>
      <c r="C861" s="5">
        <v>10.93</v>
      </c>
      <c r="D861" s="4">
        <v>40</v>
      </c>
      <c r="E861" s="5">
        <v>15.75</v>
      </c>
      <c r="F861" s="4">
        <v>5</v>
      </c>
      <c r="G861" s="5">
        <v>3.01</v>
      </c>
      <c r="H861" s="4">
        <v>1</v>
      </c>
    </row>
    <row r="862" spans="1:8" x14ac:dyDescent="0.15">
      <c r="A862" s="2" t="s">
        <v>73</v>
      </c>
      <c r="B862" s="4">
        <v>40</v>
      </c>
      <c r="C862" s="5">
        <v>9.5</v>
      </c>
      <c r="D862" s="4">
        <v>29</v>
      </c>
      <c r="E862" s="5">
        <v>11.42</v>
      </c>
      <c r="F862" s="4">
        <v>11</v>
      </c>
      <c r="G862" s="5">
        <v>6.63</v>
      </c>
      <c r="H862" s="4">
        <v>0</v>
      </c>
    </row>
    <row r="863" spans="1:8" x14ac:dyDescent="0.15">
      <c r="A863" s="2" t="s">
        <v>74</v>
      </c>
      <c r="B863" s="4">
        <v>9</v>
      </c>
      <c r="C863" s="5">
        <v>2.14</v>
      </c>
      <c r="D863" s="4">
        <v>8</v>
      </c>
      <c r="E863" s="5">
        <v>3.15</v>
      </c>
      <c r="F863" s="4">
        <v>1</v>
      </c>
      <c r="G863" s="5">
        <v>0.6</v>
      </c>
      <c r="H863" s="4">
        <v>0</v>
      </c>
    </row>
    <row r="864" spans="1:8" x14ac:dyDescent="0.15">
      <c r="A864" s="2" t="s">
        <v>75</v>
      </c>
      <c r="B864" s="4">
        <v>18</v>
      </c>
      <c r="C864" s="5">
        <v>4.28</v>
      </c>
      <c r="D864" s="4">
        <v>11</v>
      </c>
      <c r="E864" s="5">
        <v>4.33</v>
      </c>
      <c r="F864" s="4">
        <v>7</v>
      </c>
      <c r="G864" s="5">
        <v>4.22</v>
      </c>
      <c r="H864" s="4">
        <v>0</v>
      </c>
    </row>
    <row r="865" spans="1:8" x14ac:dyDescent="0.15">
      <c r="A865" s="2" t="s">
        <v>76</v>
      </c>
      <c r="B865" s="4">
        <v>13</v>
      </c>
      <c r="C865" s="5">
        <v>3.09</v>
      </c>
      <c r="D865" s="4">
        <v>5</v>
      </c>
      <c r="E865" s="5">
        <v>1.97</v>
      </c>
      <c r="F865" s="4">
        <v>8</v>
      </c>
      <c r="G865" s="5">
        <v>4.82</v>
      </c>
      <c r="H865" s="4">
        <v>0</v>
      </c>
    </row>
    <row r="866" spans="1:8" x14ac:dyDescent="0.15">
      <c r="A866" s="1" t="s">
        <v>54</v>
      </c>
      <c r="B866" s="4">
        <v>371</v>
      </c>
      <c r="C866" s="5">
        <v>100.01</v>
      </c>
      <c r="D866" s="4">
        <v>256</v>
      </c>
      <c r="E866" s="5">
        <v>99.98</v>
      </c>
      <c r="F866" s="4">
        <v>115</v>
      </c>
      <c r="G866" s="5">
        <v>100.02000000000001</v>
      </c>
      <c r="H866" s="4">
        <v>0</v>
      </c>
    </row>
    <row r="867" spans="1:8" x14ac:dyDescent="0.15">
      <c r="A867" s="2" t="s">
        <v>62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15">
      <c r="A868" s="2" t="s">
        <v>63</v>
      </c>
      <c r="B868" s="4">
        <v>38</v>
      </c>
      <c r="C868" s="5">
        <v>10.24</v>
      </c>
      <c r="D868" s="4">
        <v>17</v>
      </c>
      <c r="E868" s="5">
        <v>6.64</v>
      </c>
      <c r="F868" s="4">
        <v>21</v>
      </c>
      <c r="G868" s="5">
        <v>18.260000000000002</v>
      </c>
      <c r="H868" s="4">
        <v>0</v>
      </c>
    </row>
    <row r="869" spans="1:8" x14ac:dyDescent="0.15">
      <c r="A869" s="2" t="s">
        <v>64</v>
      </c>
      <c r="B869" s="4">
        <v>16</v>
      </c>
      <c r="C869" s="5">
        <v>4.3099999999999996</v>
      </c>
      <c r="D869" s="4">
        <v>7</v>
      </c>
      <c r="E869" s="5">
        <v>2.73</v>
      </c>
      <c r="F869" s="4">
        <v>9</v>
      </c>
      <c r="G869" s="5">
        <v>7.83</v>
      </c>
      <c r="H869" s="4">
        <v>0</v>
      </c>
    </row>
    <row r="870" spans="1:8" x14ac:dyDescent="0.15">
      <c r="A870" s="2" t="s">
        <v>65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15">
      <c r="A871" s="2" t="s">
        <v>66</v>
      </c>
      <c r="B871" s="4">
        <v>4</v>
      </c>
      <c r="C871" s="5">
        <v>1.08</v>
      </c>
      <c r="D871" s="4">
        <v>0</v>
      </c>
      <c r="E871" s="5">
        <v>0</v>
      </c>
      <c r="F871" s="4">
        <v>4</v>
      </c>
      <c r="G871" s="5">
        <v>3.48</v>
      </c>
      <c r="H871" s="4">
        <v>0</v>
      </c>
    </row>
    <row r="872" spans="1:8" x14ac:dyDescent="0.15">
      <c r="A872" s="2" t="s">
        <v>67</v>
      </c>
      <c r="B872" s="4">
        <v>4</v>
      </c>
      <c r="C872" s="5">
        <v>1.08</v>
      </c>
      <c r="D872" s="4">
        <v>1</v>
      </c>
      <c r="E872" s="5">
        <v>0.39</v>
      </c>
      <c r="F872" s="4">
        <v>3</v>
      </c>
      <c r="G872" s="5">
        <v>2.61</v>
      </c>
      <c r="H872" s="4">
        <v>0</v>
      </c>
    </row>
    <row r="873" spans="1:8" x14ac:dyDescent="0.15">
      <c r="A873" s="2" t="s">
        <v>68</v>
      </c>
      <c r="B873" s="4">
        <v>63</v>
      </c>
      <c r="C873" s="5">
        <v>16.98</v>
      </c>
      <c r="D873" s="4">
        <v>38</v>
      </c>
      <c r="E873" s="5">
        <v>14.84</v>
      </c>
      <c r="F873" s="4">
        <v>25</v>
      </c>
      <c r="G873" s="5">
        <v>21.74</v>
      </c>
      <c r="H873" s="4">
        <v>0</v>
      </c>
    </row>
    <row r="874" spans="1:8" x14ac:dyDescent="0.15">
      <c r="A874" s="2" t="s">
        <v>69</v>
      </c>
      <c r="B874" s="4">
        <v>2</v>
      </c>
      <c r="C874" s="5">
        <v>0.54</v>
      </c>
      <c r="D874" s="4">
        <v>2</v>
      </c>
      <c r="E874" s="5">
        <v>0.78</v>
      </c>
      <c r="F874" s="4">
        <v>0</v>
      </c>
      <c r="G874" s="5">
        <v>0</v>
      </c>
      <c r="H874" s="4">
        <v>0</v>
      </c>
    </row>
    <row r="875" spans="1:8" x14ac:dyDescent="0.15">
      <c r="A875" s="2" t="s">
        <v>70</v>
      </c>
      <c r="B875" s="4">
        <v>114</v>
      </c>
      <c r="C875" s="5">
        <v>30.73</v>
      </c>
      <c r="D875" s="4">
        <v>94</v>
      </c>
      <c r="E875" s="5">
        <v>36.72</v>
      </c>
      <c r="F875" s="4">
        <v>20</v>
      </c>
      <c r="G875" s="5">
        <v>17.39</v>
      </c>
      <c r="H875" s="4">
        <v>0</v>
      </c>
    </row>
    <row r="876" spans="1:8" x14ac:dyDescent="0.15">
      <c r="A876" s="2" t="s">
        <v>71</v>
      </c>
      <c r="B876" s="4">
        <v>15</v>
      </c>
      <c r="C876" s="5">
        <v>4.04</v>
      </c>
      <c r="D876" s="4">
        <v>7</v>
      </c>
      <c r="E876" s="5">
        <v>2.73</v>
      </c>
      <c r="F876" s="4">
        <v>8</v>
      </c>
      <c r="G876" s="5">
        <v>6.96</v>
      </c>
      <c r="H876" s="4">
        <v>0</v>
      </c>
    </row>
    <row r="877" spans="1:8" x14ac:dyDescent="0.15">
      <c r="A877" s="2" t="s">
        <v>72</v>
      </c>
      <c r="B877" s="4">
        <v>56</v>
      </c>
      <c r="C877" s="5">
        <v>15.09</v>
      </c>
      <c r="D877" s="4">
        <v>45</v>
      </c>
      <c r="E877" s="5">
        <v>17.579999999999998</v>
      </c>
      <c r="F877" s="4">
        <v>11</v>
      </c>
      <c r="G877" s="5">
        <v>9.57</v>
      </c>
      <c r="H877" s="4">
        <v>0</v>
      </c>
    </row>
    <row r="878" spans="1:8" x14ac:dyDescent="0.15">
      <c r="A878" s="2" t="s">
        <v>73</v>
      </c>
      <c r="B878" s="4">
        <v>32</v>
      </c>
      <c r="C878" s="5">
        <v>8.6300000000000008</v>
      </c>
      <c r="D878" s="4">
        <v>31</v>
      </c>
      <c r="E878" s="5">
        <v>12.11</v>
      </c>
      <c r="F878" s="4">
        <v>1</v>
      </c>
      <c r="G878" s="5">
        <v>0.87</v>
      </c>
      <c r="H878" s="4">
        <v>0</v>
      </c>
    </row>
    <row r="879" spans="1:8" x14ac:dyDescent="0.15">
      <c r="A879" s="2" t="s">
        <v>74</v>
      </c>
      <c r="B879" s="4">
        <v>8</v>
      </c>
      <c r="C879" s="5">
        <v>2.16</v>
      </c>
      <c r="D879" s="4">
        <v>5</v>
      </c>
      <c r="E879" s="5">
        <v>1.95</v>
      </c>
      <c r="F879" s="4">
        <v>3</v>
      </c>
      <c r="G879" s="5">
        <v>2.61</v>
      </c>
      <c r="H879" s="4">
        <v>0</v>
      </c>
    </row>
    <row r="880" spans="1:8" x14ac:dyDescent="0.15">
      <c r="A880" s="2" t="s">
        <v>75</v>
      </c>
      <c r="B880" s="4">
        <v>10</v>
      </c>
      <c r="C880" s="5">
        <v>2.7</v>
      </c>
      <c r="D880" s="4">
        <v>7</v>
      </c>
      <c r="E880" s="5">
        <v>2.73</v>
      </c>
      <c r="F880" s="4">
        <v>3</v>
      </c>
      <c r="G880" s="5">
        <v>2.61</v>
      </c>
      <c r="H880" s="4">
        <v>0</v>
      </c>
    </row>
    <row r="881" spans="1:8" x14ac:dyDescent="0.15">
      <c r="A881" s="2" t="s">
        <v>76</v>
      </c>
      <c r="B881" s="4">
        <v>9</v>
      </c>
      <c r="C881" s="5">
        <v>2.4300000000000002</v>
      </c>
      <c r="D881" s="4">
        <v>2</v>
      </c>
      <c r="E881" s="5">
        <v>0.78</v>
      </c>
      <c r="F881" s="4">
        <v>7</v>
      </c>
      <c r="G881" s="5">
        <v>6.09</v>
      </c>
      <c r="H881" s="4">
        <v>0</v>
      </c>
    </row>
    <row r="882" spans="1:8" x14ac:dyDescent="0.15">
      <c r="A882" s="1" t="s">
        <v>55</v>
      </c>
      <c r="B882" s="4">
        <v>284</v>
      </c>
      <c r="C882" s="5">
        <v>100.00000000000001</v>
      </c>
      <c r="D882" s="4">
        <v>157</v>
      </c>
      <c r="E882" s="5">
        <v>100</v>
      </c>
      <c r="F882" s="4">
        <v>125</v>
      </c>
      <c r="G882" s="5">
        <v>99.999999999999972</v>
      </c>
      <c r="H882" s="4">
        <v>2</v>
      </c>
    </row>
    <row r="883" spans="1:8" x14ac:dyDescent="0.15">
      <c r="A883" s="2" t="s">
        <v>62</v>
      </c>
      <c r="B883" s="4">
        <v>1</v>
      </c>
      <c r="C883" s="5">
        <v>0.35</v>
      </c>
      <c r="D883" s="4">
        <v>0</v>
      </c>
      <c r="E883" s="5">
        <v>0</v>
      </c>
      <c r="F883" s="4">
        <v>1</v>
      </c>
      <c r="G883" s="5">
        <v>0.8</v>
      </c>
      <c r="H883" s="4">
        <v>0</v>
      </c>
    </row>
    <row r="884" spans="1:8" x14ac:dyDescent="0.15">
      <c r="A884" s="2" t="s">
        <v>63</v>
      </c>
      <c r="B884" s="4">
        <v>56</v>
      </c>
      <c r="C884" s="5">
        <v>19.72</v>
      </c>
      <c r="D884" s="4">
        <v>15</v>
      </c>
      <c r="E884" s="5">
        <v>9.5500000000000007</v>
      </c>
      <c r="F884" s="4">
        <v>41</v>
      </c>
      <c r="G884" s="5">
        <v>32.799999999999997</v>
      </c>
      <c r="H884" s="4">
        <v>0</v>
      </c>
    </row>
    <row r="885" spans="1:8" x14ac:dyDescent="0.15">
      <c r="A885" s="2" t="s">
        <v>64</v>
      </c>
      <c r="B885" s="4">
        <v>23</v>
      </c>
      <c r="C885" s="5">
        <v>8.1</v>
      </c>
      <c r="D885" s="4">
        <v>9</v>
      </c>
      <c r="E885" s="5">
        <v>5.73</v>
      </c>
      <c r="F885" s="4">
        <v>14</v>
      </c>
      <c r="G885" s="5">
        <v>11.2</v>
      </c>
      <c r="H885" s="4">
        <v>0</v>
      </c>
    </row>
    <row r="886" spans="1:8" x14ac:dyDescent="0.15">
      <c r="A886" s="2" t="s">
        <v>65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15">
      <c r="A887" s="2" t="s">
        <v>66</v>
      </c>
      <c r="B887" s="4">
        <v>0</v>
      </c>
      <c r="C887" s="5">
        <v>0</v>
      </c>
      <c r="D887" s="4">
        <v>0</v>
      </c>
      <c r="E887" s="5">
        <v>0</v>
      </c>
      <c r="F887" s="4">
        <v>0</v>
      </c>
      <c r="G887" s="5">
        <v>0</v>
      </c>
      <c r="H887" s="4">
        <v>0</v>
      </c>
    </row>
    <row r="888" spans="1:8" x14ac:dyDescent="0.15">
      <c r="A888" s="2" t="s">
        <v>67</v>
      </c>
      <c r="B888" s="4">
        <v>6</v>
      </c>
      <c r="C888" s="5">
        <v>2.11</v>
      </c>
      <c r="D888" s="4">
        <v>0</v>
      </c>
      <c r="E888" s="5">
        <v>0</v>
      </c>
      <c r="F888" s="4">
        <v>6</v>
      </c>
      <c r="G888" s="5">
        <v>4.8</v>
      </c>
      <c r="H888" s="4">
        <v>0</v>
      </c>
    </row>
    <row r="889" spans="1:8" x14ac:dyDescent="0.15">
      <c r="A889" s="2" t="s">
        <v>68</v>
      </c>
      <c r="B889" s="4">
        <v>85</v>
      </c>
      <c r="C889" s="5">
        <v>29.93</v>
      </c>
      <c r="D889" s="4">
        <v>53</v>
      </c>
      <c r="E889" s="5">
        <v>33.76</v>
      </c>
      <c r="F889" s="4">
        <v>31</v>
      </c>
      <c r="G889" s="5">
        <v>24.8</v>
      </c>
      <c r="H889" s="4">
        <v>1</v>
      </c>
    </row>
    <row r="890" spans="1:8" x14ac:dyDescent="0.15">
      <c r="A890" s="2" t="s">
        <v>69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15">
      <c r="A891" s="2" t="s">
        <v>70</v>
      </c>
      <c r="B891" s="4">
        <v>29</v>
      </c>
      <c r="C891" s="5">
        <v>10.210000000000001</v>
      </c>
      <c r="D891" s="4">
        <v>17</v>
      </c>
      <c r="E891" s="5">
        <v>10.83</v>
      </c>
      <c r="F891" s="4">
        <v>12</v>
      </c>
      <c r="G891" s="5">
        <v>9.6</v>
      </c>
      <c r="H891" s="4">
        <v>0</v>
      </c>
    </row>
    <row r="892" spans="1:8" x14ac:dyDescent="0.15">
      <c r="A892" s="2" t="s">
        <v>71</v>
      </c>
      <c r="B892" s="4">
        <v>3</v>
      </c>
      <c r="C892" s="5">
        <v>1.06</v>
      </c>
      <c r="D892" s="4">
        <v>2</v>
      </c>
      <c r="E892" s="5">
        <v>1.27</v>
      </c>
      <c r="F892" s="4">
        <v>1</v>
      </c>
      <c r="G892" s="5">
        <v>0.8</v>
      </c>
      <c r="H892" s="4">
        <v>0</v>
      </c>
    </row>
    <row r="893" spans="1:8" x14ac:dyDescent="0.15">
      <c r="A893" s="2" t="s">
        <v>72</v>
      </c>
      <c r="B893" s="4">
        <v>28</v>
      </c>
      <c r="C893" s="5">
        <v>9.86</v>
      </c>
      <c r="D893" s="4">
        <v>20</v>
      </c>
      <c r="E893" s="5">
        <v>12.74</v>
      </c>
      <c r="F893" s="4">
        <v>8</v>
      </c>
      <c r="G893" s="5">
        <v>6.4</v>
      </c>
      <c r="H893" s="4">
        <v>0</v>
      </c>
    </row>
    <row r="894" spans="1:8" x14ac:dyDescent="0.15">
      <c r="A894" s="2" t="s">
        <v>73</v>
      </c>
      <c r="B894" s="4">
        <v>26</v>
      </c>
      <c r="C894" s="5">
        <v>9.15</v>
      </c>
      <c r="D894" s="4">
        <v>23</v>
      </c>
      <c r="E894" s="5">
        <v>14.65</v>
      </c>
      <c r="F894" s="4">
        <v>2</v>
      </c>
      <c r="G894" s="5">
        <v>1.6</v>
      </c>
      <c r="H894" s="4">
        <v>1</v>
      </c>
    </row>
    <row r="895" spans="1:8" x14ac:dyDescent="0.15">
      <c r="A895" s="2" t="s">
        <v>74</v>
      </c>
      <c r="B895" s="4">
        <v>12</v>
      </c>
      <c r="C895" s="5">
        <v>4.2300000000000004</v>
      </c>
      <c r="D895" s="4">
        <v>10</v>
      </c>
      <c r="E895" s="5">
        <v>6.37</v>
      </c>
      <c r="F895" s="4">
        <v>2</v>
      </c>
      <c r="G895" s="5">
        <v>1.6</v>
      </c>
      <c r="H895" s="4">
        <v>0</v>
      </c>
    </row>
    <row r="896" spans="1:8" x14ac:dyDescent="0.15">
      <c r="A896" s="2" t="s">
        <v>75</v>
      </c>
      <c r="B896" s="4">
        <v>4</v>
      </c>
      <c r="C896" s="5">
        <v>1.41</v>
      </c>
      <c r="D896" s="4">
        <v>4</v>
      </c>
      <c r="E896" s="5">
        <v>2.5499999999999998</v>
      </c>
      <c r="F896" s="4">
        <v>0</v>
      </c>
      <c r="G896" s="5">
        <v>0</v>
      </c>
      <c r="H896" s="4">
        <v>0</v>
      </c>
    </row>
    <row r="897" spans="1:8" x14ac:dyDescent="0.15">
      <c r="A897" s="2" t="s">
        <v>76</v>
      </c>
      <c r="B897" s="4">
        <v>11</v>
      </c>
      <c r="C897" s="5">
        <v>3.87</v>
      </c>
      <c r="D897" s="4">
        <v>4</v>
      </c>
      <c r="E897" s="5">
        <v>2.5499999999999998</v>
      </c>
      <c r="F897" s="4">
        <v>7</v>
      </c>
      <c r="G897" s="5">
        <v>5.6</v>
      </c>
      <c r="H897" s="4">
        <v>0</v>
      </c>
    </row>
    <row r="898" spans="1:8" x14ac:dyDescent="0.15">
      <c r="A898" s="1" t="s">
        <v>56</v>
      </c>
      <c r="B898" s="4">
        <v>421</v>
      </c>
      <c r="C898" s="5">
        <v>100</v>
      </c>
      <c r="D898" s="4">
        <v>285</v>
      </c>
      <c r="E898" s="5">
        <v>100</v>
      </c>
      <c r="F898" s="4">
        <v>136</v>
      </c>
      <c r="G898" s="5">
        <v>100.02</v>
      </c>
      <c r="H898" s="4">
        <v>0</v>
      </c>
    </row>
    <row r="899" spans="1:8" x14ac:dyDescent="0.15">
      <c r="A899" s="2" t="s">
        <v>62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15">
      <c r="A900" s="2" t="s">
        <v>63</v>
      </c>
      <c r="B900" s="4">
        <v>47</v>
      </c>
      <c r="C900" s="5">
        <v>11.16</v>
      </c>
      <c r="D900" s="4">
        <v>19</v>
      </c>
      <c r="E900" s="5">
        <v>6.67</v>
      </c>
      <c r="F900" s="4">
        <v>28</v>
      </c>
      <c r="G900" s="5">
        <v>20.59</v>
      </c>
      <c r="H900" s="4">
        <v>0</v>
      </c>
    </row>
    <row r="901" spans="1:8" x14ac:dyDescent="0.15">
      <c r="A901" s="2" t="s">
        <v>64</v>
      </c>
      <c r="B901" s="4">
        <v>19</v>
      </c>
      <c r="C901" s="5">
        <v>4.51</v>
      </c>
      <c r="D901" s="4">
        <v>6</v>
      </c>
      <c r="E901" s="5">
        <v>2.11</v>
      </c>
      <c r="F901" s="4">
        <v>13</v>
      </c>
      <c r="G901" s="5">
        <v>9.56</v>
      </c>
      <c r="H901" s="4">
        <v>0</v>
      </c>
    </row>
    <row r="902" spans="1:8" x14ac:dyDescent="0.15">
      <c r="A902" s="2" t="s">
        <v>65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15">
      <c r="A903" s="2" t="s">
        <v>66</v>
      </c>
      <c r="B903" s="4">
        <v>1</v>
      </c>
      <c r="C903" s="5">
        <v>0.24</v>
      </c>
      <c r="D903" s="4">
        <v>0</v>
      </c>
      <c r="E903" s="5">
        <v>0</v>
      </c>
      <c r="F903" s="4">
        <v>1</v>
      </c>
      <c r="G903" s="5">
        <v>0.74</v>
      </c>
      <c r="H903" s="4">
        <v>0</v>
      </c>
    </row>
    <row r="904" spans="1:8" x14ac:dyDescent="0.15">
      <c r="A904" s="2" t="s">
        <v>67</v>
      </c>
      <c r="B904" s="4">
        <v>1</v>
      </c>
      <c r="C904" s="5">
        <v>0.24</v>
      </c>
      <c r="D904" s="4">
        <v>0</v>
      </c>
      <c r="E904" s="5">
        <v>0</v>
      </c>
      <c r="F904" s="4">
        <v>1</v>
      </c>
      <c r="G904" s="5">
        <v>0.74</v>
      </c>
      <c r="H904" s="4">
        <v>0</v>
      </c>
    </row>
    <row r="905" spans="1:8" x14ac:dyDescent="0.15">
      <c r="A905" s="2" t="s">
        <v>68</v>
      </c>
      <c r="B905" s="4">
        <v>71</v>
      </c>
      <c r="C905" s="5">
        <v>16.86</v>
      </c>
      <c r="D905" s="4">
        <v>43</v>
      </c>
      <c r="E905" s="5">
        <v>15.09</v>
      </c>
      <c r="F905" s="4">
        <v>28</v>
      </c>
      <c r="G905" s="5">
        <v>20.59</v>
      </c>
      <c r="H905" s="4">
        <v>0</v>
      </c>
    </row>
    <row r="906" spans="1:8" x14ac:dyDescent="0.15">
      <c r="A906" s="2" t="s">
        <v>69</v>
      </c>
      <c r="B906" s="4">
        <v>1</v>
      </c>
      <c r="C906" s="5">
        <v>0.24</v>
      </c>
      <c r="D906" s="4">
        <v>0</v>
      </c>
      <c r="E906" s="5">
        <v>0</v>
      </c>
      <c r="F906" s="4">
        <v>1</v>
      </c>
      <c r="G906" s="5">
        <v>0.74</v>
      </c>
      <c r="H906" s="4">
        <v>0</v>
      </c>
    </row>
    <row r="907" spans="1:8" x14ac:dyDescent="0.15">
      <c r="A907" s="2" t="s">
        <v>70</v>
      </c>
      <c r="B907" s="4">
        <v>136</v>
      </c>
      <c r="C907" s="5">
        <v>32.299999999999997</v>
      </c>
      <c r="D907" s="4">
        <v>108</v>
      </c>
      <c r="E907" s="5">
        <v>37.89</v>
      </c>
      <c r="F907" s="4">
        <v>28</v>
      </c>
      <c r="G907" s="5">
        <v>20.59</v>
      </c>
      <c r="H907" s="4">
        <v>0</v>
      </c>
    </row>
    <row r="908" spans="1:8" x14ac:dyDescent="0.15">
      <c r="A908" s="2" t="s">
        <v>71</v>
      </c>
      <c r="B908" s="4">
        <v>10</v>
      </c>
      <c r="C908" s="5">
        <v>2.38</v>
      </c>
      <c r="D908" s="4">
        <v>8</v>
      </c>
      <c r="E908" s="5">
        <v>2.81</v>
      </c>
      <c r="F908" s="4">
        <v>2</v>
      </c>
      <c r="G908" s="5">
        <v>1.47</v>
      </c>
      <c r="H908" s="4">
        <v>0</v>
      </c>
    </row>
    <row r="909" spans="1:8" x14ac:dyDescent="0.15">
      <c r="A909" s="2" t="s">
        <v>72</v>
      </c>
      <c r="B909" s="4">
        <v>42</v>
      </c>
      <c r="C909" s="5">
        <v>9.98</v>
      </c>
      <c r="D909" s="4">
        <v>35</v>
      </c>
      <c r="E909" s="5">
        <v>12.28</v>
      </c>
      <c r="F909" s="4">
        <v>7</v>
      </c>
      <c r="G909" s="5">
        <v>5.15</v>
      </c>
      <c r="H909" s="4">
        <v>0</v>
      </c>
    </row>
    <row r="910" spans="1:8" x14ac:dyDescent="0.15">
      <c r="A910" s="2" t="s">
        <v>73</v>
      </c>
      <c r="B910" s="4">
        <v>47</v>
      </c>
      <c r="C910" s="5">
        <v>11.16</v>
      </c>
      <c r="D910" s="4">
        <v>37</v>
      </c>
      <c r="E910" s="5">
        <v>12.98</v>
      </c>
      <c r="F910" s="4">
        <v>10</v>
      </c>
      <c r="G910" s="5">
        <v>7.35</v>
      </c>
      <c r="H910" s="4">
        <v>0</v>
      </c>
    </row>
    <row r="911" spans="1:8" x14ac:dyDescent="0.15">
      <c r="A911" s="2" t="s">
        <v>74</v>
      </c>
      <c r="B911" s="4">
        <v>19</v>
      </c>
      <c r="C911" s="5">
        <v>4.51</v>
      </c>
      <c r="D911" s="4">
        <v>13</v>
      </c>
      <c r="E911" s="5">
        <v>4.5599999999999996</v>
      </c>
      <c r="F911" s="4">
        <v>6</v>
      </c>
      <c r="G911" s="5">
        <v>4.41</v>
      </c>
      <c r="H911" s="4">
        <v>0</v>
      </c>
    </row>
    <row r="912" spans="1:8" x14ac:dyDescent="0.15">
      <c r="A912" s="2" t="s">
        <v>75</v>
      </c>
      <c r="B912" s="4">
        <v>17</v>
      </c>
      <c r="C912" s="5">
        <v>4.04</v>
      </c>
      <c r="D912" s="4">
        <v>13</v>
      </c>
      <c r="E912" s="5">
        <v>4.5599999999999996</v>
      </c>
      <c r="F912" s="4">
        <v>4</v>
      </c>
      <c r="G912" s="5">
        <v>2.94</v>
      </c>
      <c r="H912" s="4">
        <v>0</v>
      </c>
    </row>
    <row r="913" spans="1:8" x14ac:dyDescent="0.15">
      <c r="A913" s="2" t="s">
        <v>76</v>
      </c>
      <c r="B913" s="4">
        <v>10</v>
      </c>
      <c r="C913" s="5">
        <v>2.38</v>
      </c>
      <c r="D913" s="4">
        <v>3</v>
      </c>
      <c r="E913" s="5">
        <v>1.05</v>
      </c>
      <c r="F913" s="4">
        <v>7</v>
      </c>
      <c r="G913" s="5">
        <v>5.15</v>
      </c>
      <c r="H913" s="4">
        <v>0</v>
      </c>
    </row>
    <row r="914" spans="1:8" x14ac:dyDescent="0.15">
      <c r="A914" s="1" t="s">
        <v>57</v>
      </c>
      <c r="B914" s="4">
        <v>762</v>
      </c>
      <c r="C914" s="5">
        <v>99.98</v>
      </c>
      <c r="D914" s="4">
        <v>305</v>
      </c>
      <c r="E914" s="5">
        <v>100.00999999999999</v>
      </c>
      <c r="F914" s="4">
        <v>451</v>
      </c>
      <c r="G914" s="5">
        <v>99.99</v>
      </c>
      <c r="H914" s="4">
        <v>6</v>
      </c>
    </row>
    <row r="915" spans="1:8" x14ac:dyDescent="0.15">
      <c r="A915" s="2" t="s">
        <v>62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15">
      <c r="A916" s="2" t="s">
        <v>63</v>
      </c>
      <c r="B916" s="4">
        <v>90</v>
      </c>
      <c r="C916" s="5">
        <v>11.81</v>
      </c>
      <c r="D916" s="4">
        <v>21</v>
      </c>
      <c r="E916" s="5">
        <v>6.89</v>
      </c>
      <c r="F916" s="4">
        <v>69</v>
      </c>
      <c r="G916" s="5">
        <v>15.3</v>
      </c>
      <c r="H916" s="4">
        <v>0</v>
      </c>
    </row>
    <row r="917" spans="1:8" x14ac:dyDescent="0.15">
      <c r="A917" s="2" t="s">
        <v>64</v>
      </c>
      <c r="B917" s="4">
        <v>16</v>
      </c>
      <c r="C917" s="5">
        <v>2.1</v>
      </c>
      <c r="D917" s="4">
        <v>13</v>
      </c>
      <c r="E917" s="5">
        <v>4.26</v>
      </c>
      <c r="F917" s="4">
        <v>3</v>
      </c>
      <c r="G917" s="5">
        <v>0.67</v>
      </c>
      <c r="H917" s="4">
        <v>0</v>
      </c>
    </row>
    <row r="918" spans="1:8" x14ac:dyDescent="0.15">
      <c r="A918" s="2" t="s">
        <v>65</v>
      </c>
      <c r="B918" s="4">
        <v>0</v>
      </c>
      <c r="C918" s="5">
        <v>0</v>
      </c>
      <c r="D918" s="4">
        <v>0</v>
      </c>
      <c r="E918" s="5">
        <v>0</v>
      </c>
      <c r="F918" s="4">
        <v>0</v>
      </c>
      <c r="G918" s="5">
        <v>0</v>
      </c>
      <c r="H918" s="4">
        <v>0</v>
      </c>
    </row>
    <row r="919" spans="1:8" x14ac:dyDescent="0.15">
      <c r="A919" s="2" t="s">
        <v>66</v>
      </c>
      <c r="B919" s="4">
        <v>1</v>
      </c>
      <c r="C919" s="5">
        <v>0.13</v>
      </c>
      <c r="D919" s="4">
        <v>0</v>
      </c>
      <c r="E919" s="5">
        <v>0</v>
      </c>
      <c r="F919" s="4">
        <v>1</v>
      </c>
      <c r="G919" s="5">
        <v>0.22</v>
      </c>
      <c r="H919" s="4">
        <v>0</v>
      </c>
    </row>
    <row r="920" spans="1:8" x14ac:dyDescent="0.15">
      <c r="A920" s="2" t="s">
        <v>67</v>
      </c>
      <c r="B920" s="4">
        <v>8</v>
      </c>
      <c r="C920" s="5">
        <v>1.05</v>
      </c>
      <c r="D920" s="4">
        <v>0</v>
      </c>
      <c r="E920" s="5">
        <v>0</v>
      </c>
      <c r="F920" s="4">
        <v>6</v>
      </c>
      <c r="G920" s="5">
        <v>1.33</v>
      </c>
      <c r="H920" s="4">
        <v>2</v>
      </c>
    </row>
    <row r="921" spans="1:8" x14ac:dyDescent="0.15">
      <c r="A921" s="2" t="s">
        <v>68</v>
      </c>
      <c r="B921" s="4">
        <v>149</v>
      </c>
      <c r="C921" s="5">
        <v>19.55</v>
      </c>
      <c r="D921" s="4">
        <v>58</v>
      </c>
      <c r="E921" s="5">
        <v>19.02</v>
      </c>
      <c r="F921" s="4">
        <v>91</v>
      </c>
      <c r="G921" s="5">
        <v>20.18</v>
      </c>
      <c r="H921" s="4">
        <v>0</v>
      </c>
    </row>
    <row r="922" spans="1:8" x14ac:dyDescent="0.15">
      <c r="A922" s="2" t="s">
        <v>69</v>
      </c>
      <c r="B922" s="4">
        <v>1</v>
      </c>
      <c r="C922" s="5">
        <v>0.13</v>
      </c>
      <c r="D922" s="4">
        <v>0</v>
      </c>
      <c r="E922" s="5">
        <v>0</v>
      </c>
      <c r="F922" s="4">
        <v>1</v>
      </c>
      <c r="G922" s="5">
        <v>0.22</v>
      </c>
      <c r="H922" s="4">
        <v>0</v>
      </c>
    </row>
    <row r="923" spans="1:8" x14ac:dyDescent="0.15">
      <c r="A923" s="2" t="s">
        <v>70</v>
      </c>
      <c r="B923" s="4">
        <v>90</v>
      </c>
      <c r="C923" s="5">
        <v>11.81</v>
      </c>
      <c r="D923" s="4">
        <v>37</v>
      </c>
      <c r="E923" s="5">
        <v>12.13</v>
      </c>
      <c r="F923" s="4">
        <v>52</v>
      </c>
      <c r="G923" s="5">
        <v>11.53</v>
      </c>
      <c r="H923" s="4">
        <v>1</v>
      </c>
    </row>
    <row r="924" spans="1:8" x14ac:dyDescent="0.15">
      <c r="A924" s="2" t="s">
        <v>71</v>
      </c>
      <c r="B924" s="4">
        <v>16</v>
      </c>
      <c r="C924" s="5">
        <v>2.1</v>
      </c>
      <c r="D924" s="4">
        <v>3</v>
      </c>
      <c r="E924" s="5">
        <v>0.98</v>
      </c>
      <c r="F924" s="4">
        <v>13</v>
      </c>
      <c r="G924" s="5">
        <v>2.88</v>
      </c>
      <c r="H924" s="4">
        <v>0</v>
      </c>
    </row>
    <row r="925" spans="1:8" x14ac:dyDescent="0.15">
      <c r="A925" s="2" t="s">
        <v>72</v>
      </c>
      <c r="B925" s="4">
        <v>300</v>
      </c>
      <c r="C925" s="5">
        <v>39.369999999999997</v>
      </c>
      <c r="D925" s="4">
        <v>117</v>
      </c>
      <c r="E925" s="5">
        <v>38.36</v>
      </c>
      <c r="F925" s="4">
        <v>182</v>
      </c>
      <c r="G925" s="5">
        <v>40.35</v>
      </c>
      <c r="H925" s="4">
        <v>1</v>
      </c>
    </row>
    <row r="926" spans="1:8" x14ac:dyDescent="0.15">
      <c r="A926" s="2" t="s">
        <v>73</v>
      </c>
      <c r="B926" s="4">
        <v>49</v>
      </c>
      <c r="C926" s="5">
        <v>6.43</v>
      </c>
      <c r="D926" s="4">
        <v>34</v>
      </c>
      <c r="E926" s="5">
        <v>11.15</v>
      </c>
      <c r="F926" s="4">
        <v>14</v>
      </c>
      <c r="G926" s="5">
        <v>3.1</v>
      </c>
      <c r="H926" s="4">
        <v>1</v>
      </c>
    </row>
    <row r="927" spans="1:8" x14ac:dyDescent="0.15">
      <c r="A927" s="2" t="s">
        <v>74</v>
      </c>
      <c r="B927" s="4">
        <v>12</v>
      </c>
      <c r="C927" s="5">
        <v>1.57</v>
      </c>
      <c r="D927" s="4">
        <v>6</v>
      </c>
      <c r="E927" s="5">
        <v>1.97</v>
      </c>
      <c r="F927" s="4">
        <v>6</v>
      </c>
      <c r="G927" s="5">
        <v>1.33</v>
      </c>
      <c r="H927" s="4">
        <v>0</v>
      </c>
    </row>
    <row r="928" spans="1:8" x14ac:dyDescent="0.15">
      <c r="A928" s="2" t="s">
        <v>75</v>
      </c>
      <c r="B928" s="4">
        <v>11</v>
      </c>
      <c r="C928" s="5">
        <v>1.44</v>
      </c>
      <c r="D928" s="4">
        <v>11</v>
      </c>
      <c r="E928" s="5">
        <v>3.61</v>
      </c>
      <c r="F928" s="4">
        <v>0</v>
      </c>
      <c r="G928" s="5">
        <v>0</v>
      </c>
      <c r="H928" s="4">
        <v>0</v>
      </c>
    </row>
    <row r="929" spans="1:8" x14ac:dyDescent="0.15">
      <c r="A929" s="2" t="s">
        <v>76</v>
      </c>
      <c r="B929" s="4">
        <v>19</v>
      </c>
      <c r="C929" s="5">
        <v>2.4900000000000002</v>
      </c>
      <c r="D929" s="4">
        <v>5</v>
      </c>
      <c r="E929" s="5">
        <v>1.64</v>
      </c>
      <c r="F929" s="4">
        <v>13</v>
      </c>
      <c r="G929" s="5">
        <v>2.88</v>
      </c>
      <c r="H929" s="4">
        <v>1</v>
      </c>
    </row>
    <row r="930" spans="1:8" x14ac:dyDescent="0.15">
      <c r="A930" s="1" t="s">
        <v>58</v>
      </c>
      <c r="B930" s="4">
        <v>215</v>
      </c>
      <c r="C930" s="5">
        <v>100.03000000000002</v>
      </c>
      <c r="D930" s="4">
        <v>129</v>
      </c>
      <c r="E930" s="5">
        <v>100.02000000000001</v>
      </c>
      <c r="F930" s="4">
        <v>86</v>
      </c>
      <c r="G930" s="5">
        <v>100.00999999999999</v>
      </c>
      <c r="H930" s="4">
        <v>0</v>
      </c>
    </row>
    <row r="931" spans="1:8" x14ac:dyDescent="0.15">
      <c r="A931" s="2" t="s">
        <v>62</v>
      </c>
      <c r="B931" s="4">
        <v>5</v>
      </c>
      <c r="C931" s="5">
        <v>2.33</v>
      </c>
      <c r="D931" s="4">
        <v>0</v>
      </c>
      <c r="E931" s="5">
        <v>0</v>
      </c>
      <c r="F931" s="4">
        <v>5</v>
      </c>
      <c r="G931" s="5">
        <v>5.81</v>
      </c>
      <c r="H931" s="4">
        <v>0</v>
      </c>
    </row>
    <row r="932" spans="1:8" x14ac:dyDescent="0.15">
      <c r="A932" s="2" t="s">
        <v>63</v>
      </c>
      <c r="B932" s="4">
        <v>27</v>
      </c>
      <c r="C932" s="5">
        <v>12.56</v>
      </c>
      <c r="D932" s="4">
        <v>9</v>
      </c>
      <c r="E932" s="5">
        <v>6.98</v>
      </c>
      <c r="F932" s="4">
        <v>18</v>
      </c>
      <c r="G932" s="5">
        <v>20.93</v>
      </c>
      <c r="H932" s="4">
        <v>0</v>
      </c>
    </row>
    <row r="933" spans="1:8" x14ac:dyDescent="0.15">
      <c r="A933" s="2" t="s">
        <v>64</v>
      </c>
      <c r="B933" s="4">
        <v>18</v>
      </c>
      <c r="C933" s="5">
        <v>8.3699999999999992</v>
      </c>
      <c r="D933" s="4">
        <v>3</v>
      </c>
      <c r="E933" s="5">
        <v>2.33</v>
      </c>
      <c r="F933" s="4">
        <v>15</v>
      </c>
      <c r="G933" s="5">
        <v>17.440000000000001</v>
      </c>
      <c r="H933" s="4">
        <v>0</v>
      </c>
    </row>
    <row r="934" spans="1:8" x14ac:dyDescent="0.15">
      <c r="A934" s="2" t="s">
        <v>65</v>
      </c>
      <c r="B934" s="4">
        <v>0</v>
      </c>
      <c r="C934" s="5">
        <v>0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15">
      <c r="A935" s="2" t="s">
        <v>66</v>
      </c>
      <c r="B935" s="4">
        <v>4</v>
      </c>
      <c r="C935" s="5">
        <v>1.86</v>
      </c>
      <c r="D935" s="4">
        <v>2</v>
      </c>
      <c r="E935" s="5">
        <v>1.55</v>
      </c>
      <c r="F935" s="4">
        <v>2</v>
      </c>
      <c r="G935" s="5">
        <v>2.33</v>
      </c>
      <c r="H935" s="4">
        <v>0</v>
      </c>
    </row>
    <row r="936" spans="1:8" x14ac:dyDescent="0.15">
      <c r="A936" s="2" t="s">
        <v>67</v>
      </c>
      <c r="B936" s="4">
        <v>1</v>
      </c>
      <c r="C936" s="5">
        <v>0.47</v>
      </c>
      <c r="D936" s="4">
        <v>0</v>
      </c>
      <c r="E936" s="5">
        <v>0</v>
      </c>
      <c r="F936" s="4">
        <v>1</v>
      </c>
      <c r="G936" s="5">
        <v>1.1599999999999999</v>
      </c>
      <c r="H936" s="4">
        <v>0</v>
      </c>
    </row>
    <row r="937" spans="1:8" x14ac:dyDescent="0.15">
      <c r="A937" s="2" t="s">
        <v>68</v>
      </c>
      <c r="B937" s="4">
        <v>52</v>
      </c>
      <c r="C937" s="5">
        <v>24.19</v>
      </c>
      <c r="D937" s="4">
        <v>32</v>
      </c>
      <c r="E937" s="5">
        <v>24.81</v>
      </c>
      <c r="F937" s="4">
        <v>20</v>
      </c>
      <c r="G937" s="5">
        <v>23.26</v>
      </c>
      <c r="H937" s="4">
        <v>0</v>
      </c>
    </row>
    <row r="938" spans="1:8" x14ac:dyDescent="0.15">
      <c r="A938" s="2" t="s">
        <v>69</v>
      </c>
      <c r="B938" s="4">
        <v>1</v>
      </c>
      <c r="C938" s="5">
        <v>0.47</v>
      </c>
      <c r="D938" s="4">
        <v>0</v>
      </c>
      <c r="E938" s="5">
        <v>0</v>
      </c>
      <c r="F938" s="4">
        <v>1</v>
      </c>
      <c r="G938" s="5">
        <v>1.1599999999999999</v>
      </c>
      <c r="H938" s="4">
        <v>0</v>
      </c>
    </row>
    <row r="939" spans="1:8" x14ac:dyDescent="0.15">
      <c r="A939" s="2" t="s">
        <v>70</v>
      </c>
      <c r="B939" s="4">
        <v>24</v>
      </c>
      <c r="C939" s="5">
        <v>11.16</v>
      </c>
      <c r="D939" s="4">
        <v>18</v>
      </c>
      <c r="E939" s="5">
        <v>13.95</v>
      </c>
      <c r="F939" s="4">
        <v>6</v>
      </c>
      <c r="G939" s="5">
        <v>6.98</v>
      </c>
      <c r="H939" s="4">
        <v>0</v>
      </c>
    </row>
    <row r="940" spans="1:8" x14ac:dyDescent="0.15">
      <c r="A940" s="2" t="s">
        <v>71</v>
      </c>
      <c r="B940" s="4">
        <v>2</v>
      </c>
      <c r="C940" s="5">
        <v>0.93</v>
      </c>
      <c r="D940" s="4">
        <v>1</v>
      </c>
      <c r="E940" s="5">
        <v>0.78</v>
      </c>
      <c r="F940" s="4">
        <v>1</v>
      </c>
      <c r="G940" s="5">
        <v>1.1599999999999999</v>
      </c>
      <c r="H940" s="4">
        <v>0</v>
      </c>
    </row>
    <row r="941" spans="1:8" x14ac:dyDescent="0.15">
      <c r="A941" s="2" t="s">
        <v>72</v>
      </c>
      <c r="B941" s="4">
        <v>44</v>
      </c>
      <c r="C941" s="5">
        <v>20.47</v>
      </c>
      <c r="D941" s="4">
        <v>38</v>
      </c>
      <c r="E941" s="5">
        <v>29.46</v>
      </c>
      <c r="F941" s="4">
        <v>6</v>
      </c>
      <c r="G941" s="5">
        <v>6.98</v>
      </c>
      <c r="H941" s="4">
        <v>0</v>
      </c>
    </row>
    <row r="942" spans="1:8" x14ac:dyDescent="0.15">
      <c r="A942" s="2" t="s">
        <v>73</v>
      </c>
      <c r="B942" s="4">
        <v>26</v>
      </c>
      <c r="C942" s="5">
        <v>12.09</v>
      </c>
      <c r="D942" s="4">
        <v>20</v>
      </c>
      <c r="E942" s="5">
        <v>15.5</v>
      </c>
      <c r="F942" s="4">
        <v>6</v>
      </c>
      <c r="G942" s="5">
        <v>6.98</v>
      </c>
      <c r="H942" s="4">
        <v>0</v>
      </c>
    </row>
    <row r="943" spans="1:8" x14ac:dyDescent="0.15">
      <c r="A943" s="2" t="s">
        <v>74</v>
      </c>
      <c r="B943" s="4">
        <v>1</v>
      </c>
      <c r="C943" s="5">
        <v>0.47</v>
      </c>
      <c r="D943" s="4">
        <v>1</v>
      </c>
      <c r="E943" s="5">
        <v>0.78</v>
      </c>
      <c r="F943" s="4">
        <v>0</v>
      </c>
      <c r="G943" s="5">
        <v>0</v>
      </c>
      <c r="H943" s="4">
        <v>0</v>
      </c>
    </row>
    <row r="944" spans="1:8" x14ac:dyDescent="0.15">
      <c r="A944" s="2" t="s">
        <v>75</v>
      </c>
      <c r="B944" s="4">
        <v>7</v>
      </c>
      <c r="C944" s="5">
        <v>3.26</v>
      </c>
      <c r="D944" s="4">
        <v>4</v>
      </c>
      <c r="E944" s="5">
        <v>3.1</v>
      </c>
      <c r="F944" s="4">
        <v>3</v>
      </c>
      <c r="G944" s="5">
        <v>3.49</v>
      </c>
      <c r="H944" s="4">
        <v>0</v>
      </c>
    </row>
    <row r="945" spans="1:8" x14ac:dyDescent="0.15">
      <c r="A945" s="2" t="s">
        <v>76</v>
      </c>
      <c r="B945" s="4">
        <v>3</v>
      </c>
      <c r="C945" s="5">
        <v>1.4</v>
      </c>
      <c r="D945" s="4">
        <v>1</v>
      </c>
      <c r="E945" s="5">
        <v>0.78</v>
      </c>
      <c r="F945" s="4">
        <v>2</v>
      </c>
      <c r="G945" s="5">
        <v>2.33</v>
      </c>
      <c r="H945" s="4">
        <v>0</v>
      </c>
    </row>
    <row r="946" spans="1:8" x14ac:dyDescent="0.15">
      <c r="A946" s="1" t="s">
        <v>59</v>
      </c>
      <c r="B946" s="4">
        <v>822</v>
      </c>
      <c r="C946" s="5">
        <v>99.990000000000009</v>
      </c>
      <c r="D946" s="4">
        <v>505</v>
      </c>
      <c r="E946" s="5">
        <v>100.00000000000001</v>
      </c>
      <c r="F946" s="4">
        <v>317</v>
      </c>
      <c r="G946" s="5">
        <v>100.00000000000001</v>
      </c>
      <c r="H946" s="4">
        <v>0</v>
      </c>
    </row>
    <row r="947" spans="1:8" x14ac:dyDescent="0.15">
      <c r="A947" s="2" t="s">
        <v>62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15">
      <c r="A948" s="2" t="s">
        <v>63</v>
      </c>
      <c r="B948" s="4">
        <v>115</v>
      </c>
      <c r="C948" s="5">
        <v>13.99</v>
      </c>
      <c r="D948" s="4">
        <v>37</v>
      </c>
      <c r="E948" s="5">
        <v>7.33</v>
      </c>
      <c r="F948" s="4">
        <v>78</v>
      </c>
      <c r="G948" s="5">
        <v>24.61</v>
      </c>
      <c r="H948" s="4">
        <v>0</v>
      </c>
    </row>
    <row r="949" spans="1:8" x14ac:dyDescent="0.15">
      <c r="A949" s="2" t="s">
        <v>64</v>
      </c>
      <c r="B949" s="4">
        <v>24</v>
      </c>
      <c r="C949" s="5">
        <v>2.92</v>
      </c>
      <c r="D949" s="4">
        <v>12</v>
      </c>
      <c r="E949" s="5">
        <v>2.38</v>
      </c>
      <c r="F949" s="4">
        <v>12</v>
      </c>
      <c r="G949" s="5">
        <v>3.79</v>
      </c>
      <c r="H949" s="4">
        <v>0</v>
      </c>
    </row>
    <row r="950" spans="1:8" x14ac:dyDescent="0.15">
      <c r="A950" s="2" t="s">
        <v>65</v>
      </c>
      <c r="B950" s="4">
        <v>0</v>
      </c>
      <c r="C950" s="5">
        <v>0</v>
      </c>
      <c r="D950" s="4">
        <v>0</v>
      </c>
      <c r="E950" s="5">
        <v>0</v>
      </c>
      <c r="F950" s="4">
        <v>0</v>
      </c>
      <c r="G950" s="5">
        <v>0</v>
      </c>
      <c r="H950" s="4">
        <v>0</v>
      </c>
    </row>
    <row r="951" spans="1:8" x14ac:dyDescent="0.15">
      <c r="A951" s="2" t="s">
        <v>66</v>
      </c>
      <c r="B951" s="4">
        <v>4</v>
      </c>
      <c r="C951" s="5">
        <v>0.49</v>
      </c>
      <c r="D951" s="4">
        <v>0</v>
      </c>
      <c r="E951" s="5">
        <v>0</v>
      </c>
      <c r="F951" s="4">
        <v>4</v>
      </c>
      <c r="G951" s="5">
        <v>1.26</v>
      </c>
      <c r="H951" s="4">
        <v>0</v>
      </c>
    </row>
    <row r="952" spans="1:8" x14ac:dyDescent="0.15">
      <c r="A952" s="2" t="s">
        <v>67</v>
      </c>
      <c r="B952" s="4">
        <v>6</v>
      </c>
      <c r="C952" s="5">
        <v>0.73</v>
      </c>
      <c r="D952" s="4">
        <v>1</v>
      </c>
      <c r="E952" s="5">
        <v>0.2</v>
      </c>
      <c r="F952" s="4">
        <v>5</v>
      </c>
      <c r="G952" s="5">
        <v>1.58</v>
      </c>
      <c r="H952" s="4">
        <v>0</v>
      </c>
    </row>
    <row r="953" spans="1:8" x14ac:dyDescent="0.15">
      <c r="A953" s="2" t="s">
        <v>68</v>
      </c>
      <c r="B953" s="4">
        <v>198</v>
      </c>
      <c r="C953" s="5">
        <v>24.09</v>
      </c>
      <c r="D953" s="4">
        <v>111</v>
      </c>
      <c r="E953" s="5">
        <v>21.98</v>
      </c>
      <c r="F953" s="4">
        <v>87</v>
      </c>
      <c r="G953" s="5">
        <v>27.44</v>
      </c>
      <c r="H953" s="4">
        <v>0</v>
      </c>
    </row>
    <row r="954" spans="1:8" x14ac:dyDescent="0.15">
      <c r="A954" s="2" t="s">
        <v>69</v>
      </c>
      <c r="B954" s="4">
        <v>3</v>
      </c>
      <c r="C954" s="5">
        <v>0.36</v>
      </c>
      <c r="D954" s="4">
        <v>0</v>
      </c>
      <c r="E954" s="5">
        <v>0</v>
      </c>
      <c r="F954" s="4">
        <v>3</v>
      </c>
      <c r="G954" s="5">
        <v>0.95</v>
      </c>
      <c r="H954" s="4">
        <v>0</v>
      </c>
    </row>
    <row r="955" spans="1:8" x14ac:dyDescent="0.15">
      <c r="A955" s="2" t="s">
        <v>70</v>
      </c>
      <c r="B955" s="4">
        <v>96</v>
      </c>
      <c r="C955" s="5">
        <v>11.68</v>
      </c>
      <c r="D955" s="4">
        <v>60</v>
      </c>
      <c r="E955" s="5">
        <v>11.88</v>
      </c>
      <c r="F955" s="4">
        <v>36</v>
      </c>
      <c r="G955" s="5">
        <v>11.36</v>
      </c>
      <c r="H955" s="4">
        <v>0</v>
      </c>
    </row>
    <row r="956" spans="1:8" x14ac:dyDescent="0.15">
      <c r="A956" s="2" t="s">
        <v>71</v>
      </c>
      <c r="B956" s="4">
        <v>27</v>
      </c>
      <c r="C956" s="5">
        <v>3.28</v>
      </c>
      <c r="D956" s="4">
        <v>12</v>
      </c>
      <c r="E956" s="5">
        <v>2.38</v>
      </c>
      <c r="F956" s="4">
        <v>15</v>
      </c>
      <c r="G956" s="5">
        <v>4.7300000000000004</v>
      </c>
      <c r="H956" s="4">
        <v>0</v>
      </c>
    </row>
    <row r="957" spans="1:8" x14ac:dyDescent="0.15">
      <c r="A957" s="2" t="s">
        <v>72</v>
      </c>
      <c r="B957" s="4">
        <v>171</v>
      </c>
      <c r="C957" s="5">
        <v>20.8</v>
      </c>
      <c r="D957" s="4">
        <v>134</v>
      </c>
      <c r="E957" s="5">
        <v>26.53</v>
      </c>
      <c r="F957" s="4">
        <v>37</v>
      </c>
      <c r="G957" s="5">
        <v>11.67</v>
      </c>
      <c r="H957" s="4">
        <v>0</v>
      </c>
    </row>
    <row r="958" spans="1:8" x14ac:dyDescent="0.15">
      <c r="A958" s="2" t="s">
        <v>73</v>
      </c>
      <c r="B958" s="4">
        <v>103</v>
      </c>
      <c r="C958" s="5">
        <v>12.53</v>
      </c>
      <c r="D958" s="4">
        <v>87</v>
      </c>
      <c r="E958" s="5">
        <v>17.23</v>
      </c>
      <c r="F958" s="4">
        <v>16</v>
      </c>
      <c r="G958" s="5">
        <v>5.05</v>
      </c>
      <c r="H958" s="4">
        <v>0</v>
      </c>
    </row>
    <row r="959" spans="1:8" x14ac:dyDescent="0.15">
      <c r="A959" s="2" t="s">
        <v>74</v>
      </c>
      <c r="B959" s="4">
        <v>21</v>
      </c>
      <c r="C959" s="5">
        <v>2.5499999999999998</v>
      </c>
      <c r="D959" s="4">
        <v>13</v>
      </c>
      <c r="E959" s="5">
        <v>2.57</v>
      </c>
      <c r="F959" s="4">
        <v>8</v>
      </c>
      <c r="G959" s="5">
        <v>2.52</v>
      </c>
      <c r="H959" s="4">
        <v>0</v>
      </c>
    </row>
    <row r="960" spans="1:8" x14ac:dyDescent="0.15">
      <c r="A960" s="2" t="s">
        <v>75</v>
      </c>
      <c r="B960" s="4">
        <v>34</v>
      </c>
      <c r="C960" s="5">
        <v>4.1399999999999997</v>
      </c>
      <c r="D960" s="4">
        <v>28</v>
      </c>
      <c r="E960" s="5">
        <v>5.54</v>
      </c>
      <c r="F960" s="4">
        <v>6</v>
      </c>
      <c r="G960" s="5">
        <v>1.89</v>
      </c>
      <c r="H960" s="4">
        <v>0</v>
      </c>
    </row>
    <row r="961" spans="1:8" x14ac:dyDescent="0.15">
      <c r="A961" s="2" t="s">
        <v>76</v>
      </c>
      <c r="B961" s="4">
        <v>20</v>
      </c>
      <c r="C961" s="5">
        <v>2.4300000000000002</v>
      </c>
      <c r="D961" s="4">
        <v>10</v>
      </c>
      <c r="E961" s="5">
        <v>1.98</v>
      </c>
      <c r="F961" s="4">
        <v>10</v>
      </c>
      <c r="G961" s="5">
        <v>3.15</v>
      </c>
      <c r="H961" s="4">
        <v>0</v>
      </c>
    </row>
    <row r="962" spans="1:8" x14ac:dyDescent="0.15">
      <c r="A962" s="1" t="s">
        <v>60</v>
      </c>
      <c r="B962" s="4">
        <v>974</v>
      </c>
      <c r="C962" s="5">
        <v>99.97999999999999</v>
      </c>
      <c r="D962" s="4">
        <v>462</v>
      </c>
      <c r="E962" s="5">
        <v>100.02000000000001</v>
      </c>
      <c r="F962" s="4">
        <v>512</v>
      </c>
      <c r="G962" s="5">
        <v>100.00000000000001</v>
      </c>
      <c r="H962" s="4">
        <v>0</v>
      </c>
    </row>
    <row r="963" spans="1:8" x14ac:dyDescent="0.15">
      <c r="A963" s="2" t="s">
        <v>62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15">
      <c r="A964" s="2" t="s">
        <v>63</v>
      </c>
      <c r="B964" s="4">
        <v>216</v>
      </c>
      <c r="C964" s="5">
        <v>22.18</v>
      </c>
      <c r="D964" s="4">
        <v>69</v>
      </c>
      <c r="E964" s="5">
        <v>14.94</v>
      </c>
      <c r="F964" s="4">
        <v>147</v>
      </c>
      <c r="G964" s="5">
        <v>28.71</v>
      </c>
      <c r="H964" s="4">
        <v>0</v>
      </c>
    </row>
    <row r="965" spans="1:8" x14ac:dyDescent="0.15">
      <c r="A965" s="2" t="s">
        <v>64</v>
      </c>
      <c r="B965" s="4">
        <v>169</v>
      </c>
      <c r="C965" s="5">
        <v>17.350000000000001</v>
      </c>
      <c r="D965" s="4">
        <v>55</v>
      </c>
      <c r="E965" s="5">
        <v>11.9</v>
      </c>
      <c r="F965" s="4">
        <v>114</v>
      </c>
      <c r="G965" s="5">
        <v>22.27</v>
      </c>
      <c r="H965" s="4">
        <v>0</v>
      </c>
    </row>
    <row r="966" spans="1:8" x14ac:dyDescent="0.15">
      <c r="A966" s="2" t="s">
        <v>65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15">
      <c r="A967" s="2" t="s">
        <v>66</v>
      </c>
      <c r="B967" s="4">
        <v>1</v>
      </c>
      <c r="C967" s="5">
        <v>0.1</v>
      </c>
      <c r="D967" s="4">
        <v>0</v>
      </c>
      <c r="E967" s="5">
        <v>0</v>
      </c>
      <c r="F967" s="4">
        <v>1</v>
      </c>
      <c r="G967" s="5">
        <v>0.2</v>
      </c>
      <c r="H967" s="4">
        <v>0</v>
      </c>
    </row>
    <row r="968" spans="1:8" x14ac:dyDescent="0.15">
      <c r="A968" s="2" t="s">
        <v>67</v>
      </c>
      <c r="B968" s="4">
        <v>15</v>
      </c>
      <c r="C968" s="5">
        <v>1.54</v>
      </c>
      <c r="D968" s="4">
        <v>3</v>
      </c>
      <c r="E968" s="5">
        <v>0.65</v>
      </c>
      <c r="F968" s="4">
        <v>12</v>
      </c>
      <c r="G968" s="5">
        <v>2.34</v>
      </c>
      <c r="H968" s="4">
        <v>0</v>
      </c>
    </row>
    <row r="969" spans="1:8" x14ac:dyDescent="0.15">
      <c r="A969" s="2" t="s">
        <v>68</v>
      </c>
      <c r="B969" s="4">
        <v>165</v>
      </c>
      <c r="C969" s="5">
        <v>16.940000000000001</v>
      </c>
      <c r="D969" s="4">
        <v>77</v>
      </c>
      <c r="E969" s="5">
        <v>16.670000000000002</v>
      </c>
      <c r="F969" s="4">
        <v>88</v>
      </c>
      <c r="G969" s="5">
        <v>17.190000000000001</v>
      </c>
      <c r="H969" s="4">
        <v>0</v>
      </c>
    </row>
    <row r="970" spans="1:8" x14ac:dyDescent="0.15">
      <c r="A970" s="2" t="s">
        <v>69</v>
      </c>
      <c r="B970" s="4">
        <v>3</v>
      </c>
      <c r="C970" s="5">
        <v>0.31</v>
      </c>
      <c r="D970" s="4">
        <v>1</v>
      </c>
      <c r="E970" s="5">
        <v>0.22</v>
      </c>
      <c r="F970" s="4">
        <v>2</v>
      </c>
      <c r="G970" s="5">
        <v>0.39</v>
      </c>
      <c r="H970" s="4">
        <v>0</v>
      </c>
    </row>
    <row r="971" spans="1:8" x14ac:dyDescent="0.15">
      <c r="A971" s="2" t="s">
        <v>70</v>
      </c>
      <c r="B971" s="4">
        <v>72</v>
      </c>
      <c r="C971" s="5">
        <v>7.39</v>
      </c>
      <c r="D971" s="4">
        <v>26</v>
      </c>
      <c r="E971" s="5">
        <v>5.63</v>
      </c>
      <c r="F971" s="4">
        <v>46</v>
      </c>
      <c r="G971" s="5">
        <v>8.98</v>
      </c>
      <c r="H971" s="4">
        <v>0</v>
      </c>
    </row>
    <row r="972" spans="1:8" x14ac:dyDescent="0.15">
      <c r="A972" s="2" t="s">
        <v>71</v>
      </c>
      <c r="B972" s="4">
        <v>35</v>
      </c>
      <c r="C972" s="5">
        <v>3.59</v>
      </c>
      <c r="D972" s="4">
        <v>18</v>
      </c>
      <c r="E972" s="5">
        <v>3.9</v>
      </c>
      <c r="F972" s="4">
        <v>17</v>
      </c>
      <c r="G972" s="5">
        <v>3.32</v>
      </c>
      <c r="H972" s="4">
        <v>0</v>
      </c>
    </row>
    <row r="973" spans="1:8" x14ac:dyDescent="0.15">
      <c r="A973" s="2" t="s">
        <v>72</v>
      </c>
      <c r="B973" s="4">
        <v>117</v>
      </c>
      <c r="C973" s="5">
        <v>12.01</v>
      </c>
      <c r="D973" s="4">
        <v>92</v>
      </c>
      <c r="E973" s="5">
        <v>19.91</v>
      </c>
      <c r="F973" s="4">
        <v>25</v>
      </c>
      <c r="G973" s="5">
        <v>4.88</v>
      </c>
      <c r="H973" s="4">
        <v>0</v>
      </c>
    </row>
    <row r="974" spans="1:8" x14ac:dyDescent="0.15">
      <c r="A974" s="2" t="s">
        <v>73</v>
      </c>
      <c r="B974" s="4">
        <v>80</v>
      </c>
      <c r="C974" s="5">
        <v>8.2100000000000009</v>
      </c>
      <c r="D974" s="4">
        <v>68</v>
      </c>
      <c r="E974" s="5">
        <v>14.72</v>
      </c>
      <c r="F974" s="4">
        <v>12</v>
      </c>
      <c r="G974" s="5">
        <v>2.34</v>
      </c>
      <c r="H974" s="4">
        <v>0</v>
      </c>
    </row>
    <row r="975" spans="1:8" x14ac:dyDescent="0.15">
      <c r="A975" s="2" t="s">
        <v>74</v>
      </c>
      <c r="B975" s="4">
        <v>27</v>
      </c>
      <c r="C975" s="5">
        <v>2.77</v>
      </c>
      <c r="D975" s="4">
        <v>18</v>
      </c>
      <c r="E975" s="5">
        <v>3.9</v>
      </c>
      <c r="F975" s="4">
        <v>9</v>
      </c>
      <c r="G975" s="5">
        <v>1.76</v>
      </c>
      <c r="H975" s="4">
        <v>0</v>
      </c>
    </row>
    <row r="976" spans="1:8" x14ac:dyDescent="0.15">
      <c r="A976" s="2" t="s">
        <v>75</v>
      </c>
      <c r="B976" s="4">
        <v>24</v>
      </c>
      <c r="C976" s="5">
        <v>2.46</v>
      </c>
      <c r="D976" s="4">
        <v>18</v>
      </c>
      <c r="E976" s="5">
        <v>3.9</v>
      </c>
      <c r="F976" s="4">
        <v>6</v>
      </c>
      <c r="G976" s="5">
        <v>1.17</v>
      </c>
      <c r="H976" s="4">
        <v>0</v>
      </c>
    </row>
    <row r="977" spans="1:8" x14ac:dyDescent="0.15">
      <c r="A977" s="2" t="s">
        <v>76</v>
      </c>
      <c r="B977" s="4">
        <v>50</v>
      </c>
      <c r="C977" s="5">
        <v>5.13</v>
      </c>
      <c r="D977" s="4">
        <v>17</v>
      </c>
      <c r="E977" s="5">
        <v>3.68</v>
      </c>
      <c r="F977" s="4">
        <v>33</v>
      </c>
      <c r="G977" s="5">
        <v>6.45</v>
      </c>
      <c r="H977" s="4">
        <v>0</v>
      </c>
    </row>
    <row r="978" spans="1:8" x14ac:dyDescent="0.15">
      <c r="A978" s="1" t="s">
        <v>61</v>
      </c>
      <c r="B978" s="4">
        <v>84</v>
      </c>
      <c r="C978" s="5">
        <v>99.99</v>
      </c>
      <c r="D978" s="4">
        <v>41</v>
      </c>
      <c r="E978" s="5">
        <v>100.02</v>
      </c>
      <c r="F978" s="4">
        <v>42</v>
      </c>
      <c r="G978" s="5">
        <v>99.99</v>
      </c>
      <c r="H978" s="4">
        <v>1</v>
      </c>
    </row>
    <row r="979" spans="1:8" x14ac:dyDescent="0.15">
      <c r="A979" s="2" t="s">
        <v>62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15">
      <c r="A980" s="2" t="s">
        <v>63</v>
      </c>
      <c r="B980" s="4">
        <v>17</v>
      </c>
      <c r="C980" s="5">
        <v>20.239999999999998</v>
      </c>
      <c r="D980" s="4">
        <v>5</v>
      </c>
      <c r="E980" s="5">
        <v>12.2</v>
      </c>
      <c r="F980" s="4">
        <v>12</v>
      </c>
      <c r="G980" s="5">
        <v>28.57</v>
      </c>
      <c r="H980" s="4">
        <v>0</v>
      </c>
    </row>
    <row r="981" spans="1:8" x14ac:dyDescent="0.15">
      <c r="A981" s="2" t="s">
        <v>64</v>
      </c>
      <c r="B981" s="4">
        <v>10</v>
      </c>
      <c r="C981" s="5">
        <v>11.9</v>
      </c>
      <c r="D981" s="4">
        <v>3</v>
      </c>
      <c r="E981" s="5">
        <v>7.32</v>
      </c>
      <c r="F981" s="4">
        <v>7</v>
      </c>
      <c r="G981" s="5">
        <v>16.670000000000002</v>
      </c>
      <c r="H981" s="4">
        <v>0</v>
      </c>
    </row>
    <row r="982" spans="1:8" x14ac:dyDescent="0.15">
      <c r="A982" s="2" t="s">
        <v>65</v>
      </c>
      <c r="B982" s="4">
        <v>0</v>
      </c>
      <c r="C982" s="5">
        <v>0</v>
      </c>
      <c r="D982" s="4">
        <v>0</v>
      </c>
      <c r="E982" s="5">
        <v>0</v>
      </c>
      <c r="F982" s="4">
        <v>0</v>
      </c>
      <c r="G982" s="5">
        <v>0</v>
      </c>
      <c r="H982" s="4">
        <v>0</v>
      </c>
    </row>
    <row r="983" spans="1:8" x14ac:dyDescent="0.15">
      <c r="A983" s="2" t="s">
        <v>66</v>
      </c>
      <c r="B983" s="4">
        <v>0</v>
      </c>
      <c r="C983" s="5">
        <v>0</v>
      </c>
      <c r="D983" s="4">
        <v>0</v>
      </c>
      <c r="E983" s="5">
        <v>0</v>
      </c>
      <c r="F983" s="4">
        <v>0</v>
      </c>
      <c r="G983" s="5">
        <v>0</v>
      </c>
      <c r="H983" s="4">
        <v>0</v>
      </c>
    </row>
    <row r="984" spans="1:8" x14ac:dyDescent="0.15">
      <c r="A984" s="2" t="s">
        <v>67</v>
      </c>
      <c r="B984" s="4">
        <v>0</v>
      </c>
      <c r="C984" s="5">
        <v>0</v>
      </c>
      <c r="D984" s="4">
        <v>0</v>
      </c>
      <c r="E984" s="5">
        <v>0</v>
      </c>
      <c r="F984" s="4">
        <v>0</v>
      </c>
      <c r="G984" s="5">
        <v>0</v>
      </c>
      <c r="H984" s="4">
        <v>0</v>
      </c>
    </row>
    <row r="985" spans="1:8" x14ac:dyDescent="0.15">
      <c r="A985" s="2" t="s">
        <v>68</v>
      </c>
      <c r="B985" s="4">
        <v>17</v>
      </c>
      <c r="C985" s="5">
        <v>20.239999999999998</v>
      </c>
      <c r="D985" s="4">
        <v>10</v>
      </c>
      <c r="E985" s="5">
        <v>24.39</v>
      </c>
      <c r="F985" s="4">
        <v>7</v>
      </c>
      <c r="G985" s="5">
        <v>16.670000000000002</v>
      </c>
      <c r="H985" s="4">
        <v>0</v>
      </c>
    </row>
    <row r="986" spans="1:8" x14ac:dyDescent="0.15">
      <c r="A986" s="2" t="s">
        <v>69</v>
      </c>
      <c r="B986" s="4">
        <v>1</v>
      </c>
      <c r="C986" s="5">
        <v>1.19</v>
      </c>
      <c r="D986" s="4">
        <v>0</v>
      </c>
      <c r="E986" s="5">
        <v>0</v>
      </c>
      <c r="F986" s="4">
        <v>1</v>
      </c>
      <c r="G986" s="5">
        <v>2.38</v>
      </c>
      <c r="H986" s="4">
        <v>0</v>
      </c>
    </row>
    <row r="987" spans="1:8" x14ac:dyDescent="0.15">
      <c r="A987" s="2" t="s">
        <v>70</v>
      </c>
      <c r="B987" s="4">
        <v>4</v>
      </c>
      <c r="C987" s="5">
        <v>4.76</v>
      </c>
      <c r="D987" s="4">
        <v>0</v>
      </c>
      <c r="E987" s="5">
        <v>0</v>
      </c>
      <c r="F987" s="4">
        <v>4</v>
      </c>
      <c r="G987" s="5">
        <v>9.52</v>
      </c>
      <c r="H987" s="4">
        <v>0</v>
      </c>
    </row>
    <row r="988" spans="1:8" x14ac:dyDescent="0.15">
      <c r="A988" s="2" t="s">
        <v>71</v>
      </c>
      <c r="B988" s="4">
        <v>1</v>
      </c>
      <c r="C988" s="5">
        <v>1.19</v>
      </c>
      <c r="D988" s="4">
        <v>0</v>
      </c>
      <c r="E988" s="5">
        <v>0</v>
      </c>
      <c r="F988" s="4">
        <v>1</v>
      </c>
      <c r="G988" s="5">
        <v>2.38</v>
      </c>
      <c r="H988" s="4">
        <v>0</v>
      </c>
    </row>
    <row r="989" spans="1:8" x14ac:dyDescent="0.15">
      <c r="A989" s="2" t="s">
        <v>72</v>
      </c>
      <c r="B989" s="4">
        <v>13</v>
      </c>
      <c r="C989" s="5">
        <v>15.48</v>
      </c>
      <c r="D989" s="4">
        <v>10</v>
      </c>
      <c r="E989" s="5">
        <v>24.39</v>
      </c>
      <c r="F989" s="4">
        <v>3</v>
      </c>
      <c r="G989" s="5">
        <v>7.14</v>
      </c>
      <c r="H989" s="4">
        <v>0</v>
      </c>
    </row>
    <row r="990" spans="1:8" x14ac:dyDescent="0.15">
      <c r="A990" s="2" t="s">
        <v>73</v>
      </c>
      <c r="B990" s="4">
        <v>7</v>
      </c>
      <c r="C990" s="5">
        <v>8.33</v>
      </c>
      <c r="D990" s="4">
        <v>5</v>
      </c>
      <c r="E990" s="5">
        <v>12.2</v>
      </c>
      <c r="F990" s="4">
        <v>2</v>
      </c>
      <c r="G990" s="5">
        <v>4.76</v>
      </c>
      <c r="H990" s="4">
        <v>0</v>
      </c>
    </row>
    <row r="991" spans="1:8" x14ac:dyDescent="0.15">
      <c r="A991" s="2" t="s">
        <v>74</v>
      </c>
      <c r="B991" s="4">
        <v>4</v>
      </c>
      <c r="C991" s="5">
        <v>4.76</v>
      </c>
      <c r="D991" s="4">
        <v>3</v>
      </c>
      <c r="E991" s="5">
        <v>7.32</v>
      </c>
      <c r="F991" s="4">
        <v>1</v>
      </c>
      <c r="G991" s="5">
        <v>2.38</v>
      </c>
      <c r="H991" s="4">
        <v>0</v>
      </c>
    </row>
    <row r="992" spans="1:8" x14ac:dyDescent="0.15">
      <c r="A992" s="2" t="s">
        <v>75</v>
      </c>
      <c r="B992" s="4">
        <v>5</v>
      </c>
      <c r="C992" s="5">
        <v>5.95</v>
      </c>
      <c r="D992" s="4">
        <v>4</v>
      </c>
      <c r="E992" s="5">
        <v>9.76</v>
      </c>
      <c r="F992" s="4">
        <v>1</v>
      </c>
      <c r="G992" s="5">
        <v>2.38</v>
      </c>
      <c r="H992" s="4">
        <v>0</v>
      </c>
    </row>
    <row r="993" spans="1:8" x14ac:dyDescent="0.15">
      <c r="A993" s="2" t="s">
        <v>76</v>
      </c>
      <c r="B993" s="4">
        <v>5</v>
      </c>
      <c r="C993" s="5">
        <v>5.95</v>
      </c>
      <c r="D993" s="4">
        <v>1</v>
      </c>
      <c r="E993" s="5">
        <v>2.44</v>
      </c>
      <c r="F993" s="4">
        <v>3</v>
      </c>
      <c r="G993" s="5">
        <v>7.14</v>
      </c>
      <c r="H993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402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136</v>
      </c>
      <c r="B1" s="3" t="s">
        <v>137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  <c r="I1" s="7" t="s">
        <v>84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96</v>
      </c>
      <c r="C3" s="4">
        <v>18692</v>
      </c>
      <c r="D3" s="8">
        <v>11.59</v>
      </c>
      <c r="E3" s="4">
        <v>10446</v>
      </c>
      <c r="F3" s="8">
        <v>14.28</v>
      </c>
      <c r="G3" s="4">
        <v>8215</v>
      </c>
      <c r="H3" s="8">
        <v>9.35</v>
      </c>
      <c r="I3" s="4">
        <v>31</v>
      </c>
    </row>
    <row r="4" spans="1:9" x14ac:dyDescent="0.15">
      <c r="A4" s="2">
        <v>2</v>
      </c>
      <c r="B4" s="1" t="s">
        <v>99</v>
      </c>
      <c r="C4" s="4">
        <v>17951</v>
      </c>
      <c r="D4" s="8">
        <v>11.13</v>
      </c>
      <c r="E4" s="4">
        <v>14690</v>
      </c>
      <c r="F4" s="8">
        <v>20.07</v>
      </c>
      <c r="G4" s="4">
        <v>3251</v>
      </c>
      <c r="H4" s="8">
        <v>3.7</v>
      </c>
      <c r="I4" s="4">
        <v>10</v>
      </c>
    </row>
    <row r="5" spans="1:9" x14ac:dyDescent="0.15">
      <c r="A5" s="2">
        <v>3</v>
      </c>
      <c r="B5" s="1" t="s">
        <v>100</v>
      </c>
      <c r="C5" s="4">
        <v>14988</v>
      </c>
      <c r="D5" s="8">
        <v>9.2899999999999991</v>
      </c>
      <c r="E5" s="4">
        <v>11571</v>
      </c>
      <c r="F5" s="8">
        <v>15.81</v>
      </c>
      <c r="G5" s="4">
        <v>3414</v>
      </c>
      <c r="H5" s="8">
        <v>3.88</v>
      </c>
      <c r="I5" s="4">
        <v>3</v>
      </c>
    </row>
    <row r="6" spans="1:9" x14ac:dyDescent="0.15">
      <c r="A6" s="2">
        <v>4</v>
      </c>
      <c r="B6" s="1" t="s">
        <v>94</v>
      </c>
      <c r="C6" s="4">
        <v>9693</v>
      </c>
      <c r="D6" s="8">
        <v>6.01</v>
      </c>
      <c r="E6" s="4">
        <v>4252</v>
      </c>
      <c r="F6" s="8">
        <v>5.81</v>
      </c>
      <c r="G6" s="4">
        <v>5436</v>
      </c>
      <c r="H6" s="8">
        <v>6.18</v>
      </c>
      <c r="I6" s="4">
        <v>5</v>
      </c>
    </row>
    <row r="7" spans="1:9" x14ac:dyDescent="0.15">
      <c r="A7" s="2">
        <v>5</v>
      </c>
      <c r="B7" s="1" t="s">
        <v>85</v>
      </c>
      <c r="C7" s="4">
        <v>8760</v>
      </c>
      <c r="D7" s="8">
        <v>5.43</v>
      </c>
      <c r="E7" s="4">
        <v>1453</v>
      </c>
      <c r="F7" s="8">
        <v>1.99</v>
      </c>
      <c r="G7" s="4">
        <v>7305</v>
      </c>
      <c r="H7" s="8">
        <v>8.31</v>
      </c>
      <c r="I7" s="4">
        <v>2</v>
      </c>
    </row>
    <row r="8" spans="1:9" x14ac:dyDescent="0.15">
      <c r="A8" s="2">
        <v>6</v>
      </c>
      <c r="B8" s="1" t="s">
        <v>86</v>
      </c>
      <c r="C8" s="4">
        <v>7880</v>
      </c>
      <c r="D8" s="8">
        <v>4.8899999999999997</v>
      </c>
      <c r="E8" s="4">
        <v>2116</v>
      </c>
      <c r="F8" s="8">
        <v>2.89</v>
      </c>
      <c r="G8" s="4">
        <v>5764</v>
      </c>
      <c r="H8" s="8">
        <v>6.56</v>
      </c>
      <c r="I8" s="4">
        <v>0</v>
      </c>
    </row>
    <row r="9" spans="1:9" x14ac:dyDescent="0.15">
      <c r="A9" s="2">
        <v>7</v>
      </c>
      <c r="B9" s="1" t="s">
        <v>92</v>
      </c>
      <c r="C9" s="4">
        <v>7289</v>
      </c>
      <c r="D9" s="8">
        <v>4.5199999999999996</v>
      </c>
      <c r="E9" s="4">
        <v>3972</v>
      </c>
      <c r="F9" s="8">
        <v>5.43</v>
      </c>
      <c r="G9" s="4">
        <v>3307</v>
      </c>
      <c r="H9" s="8">
        <v>3.76</v>
      </c>
      <c r="I9" s="4">
        <v>10</v>
      </c>
    </row>
    <row r="10" spans="1:9" x14ac:dyDescent="0.15">
      <c r="A10" s="2">
        <v>8</v>
      </c>
      <c r="B10" s="1" t="s">
        <v>103</v>
      </c>
      <c r="C10" s="4">
        <v>6278</v>
      </c>
      <c r="D10" s="8">
        <v>3.89</v>
      </c>
      <c r="E10" s="4">
        <v>5278</v>
      </c>
      <c r="F10" s="8">
        <v>7.21</v>
      </c>
      <c r="G10" s="4">
        <v>998</v>
      </c>
      <c r="H10" s="8">
        <v>1.1399999999999999</v>
      </c>
      <c r="I10" s="4">
        <v>2</v>
      </c>
    </row>
    <row r="11" spans="1:9" x14ac:dyDescent="0.15">
      <c r="A11" s="2">
        <v>9</v>
      </c>
      <c r="B11" s="1" t="s">
        <v>87</v>
      </c>
      <c r="C11" s="4">
        <v>6162</v>
      </c>
      <c r="D11" s="8">
        <v>3.82</v>
      </c>
      <c r="E11" s="4">
        <v>683</v>
      </c>
      <c r="F11" s="8">
        <v>0.93</v>
      </c>
      <c r="G11" s="4">
        <v>5477</v>
      </c>
      <c r="H11" s="8">
        <v>6.23</v>
      </c>
      <c r="I11" s="4">
        <v>2</v>
      </c>
    </row>
    <row r="12" spans="1:9" x14ac:dyDescent="0.15">
      <c r="A12" s="2">
        <v>10</v>
      </c>
      <c r="B12" s="1" t="s">
        <v>102</v>
      </c>
      <c r="C12" s="4">
        <v>6076</v>
      </c>
      <c r="D12" s="8">
        <v>3.77</v>
      </c>
      <c r="E12" s="4">
        <v>4168</v>
      </c>
      <c r="F12" s="8">
        <v>5.7</v>
      </c>
      <c r="G12" s="4">
        <v>1890</v>
      </c>
      <c r="H12" s="8">
        <v>2.15</v>
      </c>
      <c r="I12" s="4">
        <v>18</v>
      </c>
    </row>
    <row r="13" spans="1:9" x14ac:dyDescent="0.15">
      <c r="A13" s="2">
        <v>11</v>
      </c>
      <c r="B13" s="1" t="s">
        <v>97</v>
      </c>
      <c r="C13" s="4">
        <v>4726</v>
      </c>
      <c r="D13" s="8">
        <v>2.93</v>
      </c>
      <c r="E13" s="4">
        <v>2796</v>
      </c>
      <c r="F13" s="8">
        <v>3.82</v>
      </c>
      <c r="G13" s="4">
        <v>1924</v>
      </c>
      <c r="H13" s="8">
        <v>2.19</v>
      </c>
      <c r="I13" s="4">
        <v>6</v>
      </c>
    </row>
    <row r="14" spans="1:9" x14ac:dyDescent="0.15">
      <c r="A14" s="2">
        <v>12</v>
      </c>
      <c r="B14" s="1" t="s">
        <v>91</v>
      </c>
      <c r="C14" s="4">
        <v>4433</v>
      </c>
      <c r="D14" s="8">
        <v>2.75</v>
      </c>
      <c r="E14" s="4">
        <v>1692</v>
      </c>
      <c r="F14" s="8">
        <v>2.31</v>
      </c>
      <c r="G14" s="4">
        <v>2741</v>
      </c>
      <c r="H14" s="8">
        <v>3.12</v>
      </c>
      <c r="I14" s="4">
        <v>0</v>
      </c>
    </row>
    <row r="15" spans="1:9" x14ac:dyDescent="0.15">
      <c r="A15" s="2">
        <v>13</v>
      </c>
      <c r="B15" s="1" t="s">
        <v>93</v>
      </c>
      <c r="C15" s="4">
        <v>3806</v>
      </c>
      <c r="D15" s="8">
        <v>2.36</v>
      </c>
      <c r="E15" s="4">
        <v>1433</v>
      </c>
      <c r="F15" s="8">
        <v>1.96</v>
      </c>
      <c r="G15" s="4">
        <v>2373</v>
      </c>
      <c r="H15" s="8">
        <v>2.7</v>
      </c>
      <c r="I15" s="4">
        <v>0</v>
      </c>
    </row>
    <row r="16" spans="1:9" x14ac:dyDescent="0.15">
      <c r="A16" s="2">
        <v>14</v>
      </c>
      <c r="B16" s="1" t="s">
        <v>98</v>
      </c>
      <c r="C16" s="4">
        <v>3673</v>
      </c>
      <c r="D16" s="8">
        <v>2.2799999999999998</v>
      </c>
      <c r="E16" s="4">
        <v>1083</v>
      </c>
      <c r="F16" s="8">
        <v>1.48</v>
      </c>
      <c r="G16" s="4">
        <v>2590</v>
      </c>
      <c r="H16" s="8">
        <v>2.95</v>
      </c>
      <c r="I16" s="4">
        <v>0</v>
      </c>
    </row>
    <row r="17" spans="1:9" x14ac:dyDescent="0.15">
      <c r="A17" s="2">
        <v>15</v>
      </c>
      <c r="B17" s="1" t="s">
        <v>95</v>
      </c>
      <c r="C17" s="4">
        <v>3336</v>
      </c>
      <c r="D17" s="8">
        <v>2.0699999999999998</v>
      </c>
      <c r="E17" s="4">
        <v>257</v>
      </c>
      <c r="F17" s="8">
        <v>0.35</v>
      </c>
      <c r="G17" s="4">
        <v>3079</v>
      </c>
      <c r="H17" s="8">
        <v>3.5</v>
      </c>
      <c r="I17" s="4">
        <v>0</v>
      </c>
    </row>
    <row r="18" spans="1:9" x14ac:dyDescent="0.15">
      <c r="A18" s="2">
        <v>16</v>
      </c>
      <c r="B18" s="1" t="s">
        <v>88</v>
      </c>
      <c r="C18" s="4">
        <v>2129</v>
      </c>
      <c r="D18" s="8">
        <v>1.32</v>
      </c>
      <c r="E18" s="4">
        <v>411</v>
      </c>
      <c r="F18" s="8">
        <v>0.56000000000000005</v>
      </c>
      <c r="G18" s="4">
        <v>1718</v>
      </c>
      <c r="H18" s="8">
        <v>1.95</v>
      </c>
      <c r="I18" s="4">
        <v>0</v>
      </c>
    </row>
    <row r="19" spans="1:9" x14ac:dyDescent="0.15">
      <c r="A19" s="2">
        <v>17</v>
      </c>
      <c r="B19" s="1" t="s">
        <v>90</v>
      </c>
      <c r="C19" s="4">
        <v>2107</v>
      </c>
      <c r="D19" s="8">
        <v>1.31</v>
      </c>
      <c r="E19" s="4">
        <v>117</v>
      </c>
      <c r="F19" s="8">
        <v>0.16</v>
      </c>
      <c r="G19" s="4">
        <v>1989</v>
      </c>
      <c r="H19" s="8">
        <v>2.2599999999999998</v>
      </c>
      <c r="I19" s="4">
        <v>1</v>
      </c>
    </row>
    <row r="20" spans="1:9" x14ac:dyDescent="0.15">
      <c r="A20" s="2">
        <v>18</v>
      </c>
      <c r="B20" s="1" t="s">
        <v>101</v>
      </c>
      <c r="C20" s="4">
        <v>1867</v>
      </c>
      <c r="D20" s="8">
        <v>1.1599999999999999</v>
      </c>
      <c r="E20" s="4">
        <v>711</v>
      </c>
      <c r="F20" s="8">
        <v>0.97</v>
      </c>
      <c r="G20" s="4">
        <v>1154</v>
      </c>
      <c r="H20" s="8">
        <v>1.31</v>
      </c>
      <c r="I20" s="4">
        <v>2</v>
      </c>
    </row>
    <row r="21" spans="1:9" x14ac:dyDescent="0.15">
      <c r="A21" s="2">
        <v>19</v>
      </c>
      <c r="B21" s="1" t="s">
        <v>104</v>
      </c>
      <c r="C21" s="4">
        <v>1820</v>
      </c>
      <c r="D21" s="8">
        <v>1.1299999999999999</v>
      </c>
      <c r="E21" s="4">
        <v>150</v>
      </c>
      <c r="F21" s="8">
        <v>0.2</v>
      </c>
      <c r="G21" s="4">
        <v>1651</v>
      </c>
      <c r="H21" s="8">
        <v>1.88</v>
      </c>
      <c r="I21" s="4">
        <v>19</v>
      </c>
    </row>
    <row r="22" spans="1:9" x14ac:dyDescent="0.15">
      <c r="A22" s="2">
        <v>20</v>
      </c>
      <c r="B22" s="1" t="s">
        <v>89</v>
      </c>
      <c r="C22" s="4">
        <v>1795</v>
      </c>
      <c r="D22" s="8">
        <v>1.1100000000000001</v>
      </c>
      <c r="E22" s="4">
        <v>283</v>
      </c>
      <c r="F22" s="8">
        <v>0.39</v>
      </c>
      <c r="G22" s="4">
        <v>1512</v>
      </c>
      <c r="H22" s="8">
        <v>1.72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96</v>
      </c>
      <c r="C25" s="4">
        <v>6479</v>
      </c>
      <c r="D25" s="8">
        <v>10.62</v>
      </c>
      <c r="E25" s="4">
        <v>2931</v>
      </c>
      <c r="F25" s="8">
        <v>12.04</v>
      </c>
      <c r="G25" s="4">
        <v>3530</v>
      </c>
      <c r="H25" s="8">
        <v>9.66</v>
      </c>
      <c r="I25" s="4">
        <v>18</v>
      </c>
    </row>
    <row r="26" spans="1:9" x14ac:dyDescent="0.15">
      <c r="A26" s="2">
        <v>2</v>
      </c>
      <c r="B26" s="1" t="s">
        <v>99</v>
      </c>
      <c r="C26" s="4">
        <v>6409</v>
      </c>
      <c r="D26" s="8">
        <v>10.51</v>
      </c>
      <c r="E26" s="4">
        <v>5026</v>
      </c>
      <c r="F26" s="8">
        <v>20.65</v>
      </c>
      <c r="G26" s="4">
        <v>1380</v>
      </c>
      <c r="H26" s="8">
        <v>3.78</v>
      </c>
      <c r="I26" s="4">
        <v>3</v>
      </c>
    </row>
    <row r="27" spans="1:9" x14ac:dyDescent="0.15">
      <c r="A27" s="2">
        <v>3</v>
      </c>
      <c r="B27" s="1" t="s">
        <v>100</v>
      </c>
      <c r="C27" s="4">
        <v>5422</v>
      </c>
      <c r="D27" s="8">
        <v>8.89</v>
      </c>
      <c r="E27" s="4">
        <v>4006</v>
      </c>
      <c r="F27" s="8">
        <v>16.46</v>
      </c>
      <c r="G27" s="4">
        <v>1415</v>
      </c>
      <c r="H27" s="8">
        <v>3.87</v>
      </c>
      <c r="I27" s="4">
        <v>1</v>
      </c>
    </row>
    <row r="28" spans="1:9" x14ac:dyDescent="0.15">
      <c r="A28" s="2">
        <v>4</v>
      </c>
      <c r="B28" s="1" t="s">
        <v>94</v>
      </c>
      <c r="C28" s="4">
        <v>3579</v>
      </c>
      <c r="D28" s="8">
        <v>5.87</v>
      </c>
      <c r="E28" s="4">
        <v>1444</v>
      </c>
      <c r="F28" s="8">
        <v>5.93</v>
      </c>
      <c r="G28" s="4">
        <v>2131</v>
      </c>
      <c r="H28" s="8">
        <v>5.83</v>
      </c>
      <c r="I28" s="4">
        <v>4</v>
      </c>
    </row>
    <row r="29" spans="1:9" x14ac:dyDescent="0.15">
      <c r="A29" s="2">
        <v>5</v>
      </c>
      <c r="B29" s="1" t="s">
        <v>85</v>
      </c>
      <c r="C29" s="4">
        <v>3104</v>
      </c>
      <c r="D29" s="8">
        <v>5.09</v>
      </c>
      <c r="E29" s="4">
        <v>379</v>
      </c>
      <c r="F29" s="8">
        <v>1.56</v>
      </c>
      <c r="G29" s="4">
        <v>2723</v>
      </c>
      <c r="H29" s="8">
        <v>7.45</v>
      </c>
      <c r="I29" s="4">
        <v>2</v>
      </c>
    </row>
    <row r="30" spans="1:9" x14ac:dyDescent="0.15">
      <c r="A30" s="2">
        <v>6</v>
      </c>
      <c r="B30" s="1" t="s">
        <v>86</v>
      </c>
      <c r="C30" s="4">
        <v>2930</v>
      </c>
      <c r="D30" s="8">
        <v>4.8</v>
      </c>
      <c r="E30" s="4">
        <v>577</v>
      </c>
      <c r="F30" s="8">
        <v>2.37</v>
      </c>
      <c r="G30" s="4">
        <v>2353</v>
      </c>
      <c r="H30" s="8">
        <v>6.44</v>
      </c>
      <c r="I30" s="4">
        <v>0</v>
      </c>
    </row>
    <row r="31" spans="1:9" x14ac:dyDescent="0.15">
      <c r="A31" s="2">
        <v>7</v>
      </c>
      <c r="B31" s="1" t="s">
        <v>92</v>
      </c>
      <c r="C31" s="4">
        <v>2578</v>
      </c>
      <c r="D31" s="8">
        <v>4.2300000000000004</v>
      </c>
      <c r="E31" s="4">
        <v>1276</v>
      </c>
      <c r="F31" s="8">
        <v>5.24</v>
      </c>
      <c r="G31" s="4">
        <v>1302</v>
      </c>
      <c r="H31" s="8">
        <v>3.56</v>
      </c>
      <c r="I31" s="4">
        <v>0</v>
      </c>
    </row>
    <row r="32" spans="1:9" x14ac:dyDescent="0.15">
      <c r="A32" s="2">
        <v>8</v>
      </c>
      <c r="B32" s="1" t="s">
        <v>103</v>
      </c>
      <c r="C32" s="4">
        <v>2405</v>
      </c>
      <c r="D32" s="8">
        <v>3.94</v>
      </c>
      <c r="E32" s="4">
        <v>1981</v>
      </c>
      <c r="F32" s="8">
        <v>8.14</v>
      </c>
      <c r="G32" s="4">
        <v>423</v>
      </c>
      <c r="H32" s="8">
        <v>1.1599999999999999</v>
      </c>
      <c r="I32" s="4">
        <v>1</v>
      </c>
    </row>
    <row r="33" spans="1:9" x14ac:dyDescent="0.15">
      <c r="A33" s="2">
        <v>9</v>
      </c>
      <c r="B33" s="1" t="s">
        <v>87</v>
      </c>
      <c r="C33" s="4">
        <v>2394</v>
      </c>
      <c r="D33" s="8">
        <v>3.93</v>
      </c>
      <c r="E33" s="4">
        <v>200</v>
      </c>
      <c r="F33" s="8">
        <v>0.82</v>
      </c>
      <c r="G33" s="4">
        <v>2194</v>
      </c>
      <c r="H33" s="8">
        <v>6</v>
      </c>
      <c r="I33" s="4">
        <v>0</v>
      </c>
    </row>
    <row r="34" spans="1:9" x14ac:dyDescent="0.15">
      <c r="A34" s="2">
        <v>10</v>
      </c>
      <c r="B34" s="1" t="s">
        <v>97</v>
      </c>
      <c r="C34" s="4">
        <v>2367</v>
      </c>
      <c r="D34" s="8">
        <v>3.88</v>
      </c>
      <c r="E34" s="4">
        <v>1363</v>
      </c>
      <c r="F34" s="8">
        <v>5.6</v>
      </c>
      <c r="G34" s="4">
        <v>1002</v>
      </c>
      <c r="H34" s="8">
        <v>2.74</v>
      </c>
      <c r="I34" s="4">
        <v>2</v>
      </c>
    </row>
    <row r="35" spans="1:9" x14ac:dyDescent="0.15">
      <c r="A35" s="2">
        <v>11</v>
      </c>
      <c r="B35" s="1" t="s">
        <v>102</v>
      </c>
      <c r="C35" s="4">
        <v>2275</v>
      </c>
      <c r="D35" s="8">
        <v>3.73</v>
      </c>
      <c r="E35" s="4">
        <v>1450</v>
      </c>
      <c r="F35" s="8">
        <v>5.96</v>
      </c>
      <c r="G35" s="4">
        <v>821</v>
      </c>
      <c r="H35" s="8">
        <v>2.25</v>
      </c>
      <c r="I35" s="4">
        <v>4</v>
      </c>
    </row>
    <row r="36" spans="1:9" x14ac:dyDescent="0.15">
      <c r="A36" s="2">
        <v>12</v>
      </c>
      <c r="B36" s="1" t="s">
        <v>91</v>
      </c>
      <c r="C36" s="4">
        <v>1819</v>
      </c>
      <c r="D36" s="8">
        <v>2.98</v>
      </c>
      <c r="E36" s="4">
        <v>559</v>
      </c>
      <c r="F36" s="8">
        <v>2.2999999999999998</v>
      </c>
      <c r="G36" s="4">
        <v>1260</v>
      </c>
      <c r="H36" s="8">
        <v>3.45</v>
      </c>
      <c r="I36" s="4">
        <v>0</v>
      </c>
    </row>
    <row r="37" spans="1:9" x14ac:dyDescent="0.15">
      <c r="A37" s="2">
        <v>13</v>
      </c>
      <c r="B37" s="1" t="s">
        <v>98</v>
      </c>
      <c r="C37" s="4">
        <v>1553</v>
      </c>
      <c r="D37" s="8">
        <v>2.5499999999999998</v>
      </c>
      <c r="E37" s="4">
        <v>381</v>
      </c>
      <c r="F37" s="8">
        <v>1.57</v>
      </c>
      <c r="G37" s="4">
        <v>1172</v>
      </c>
      <c r="H37" s="8">
        <v>3.21</v>
      </c>
      <c r="I37" s="4">
        <v>0</v>
      </c>
    </row>
    <row r="38" spans="1:9" x14ac:dyDescent="0.15">
      <c r="A38" s="2">
        <v>14</v>
      </c>
      <c r="B38" s="1" t="s">
        <v>95</v>
      </c>
      <c r="C38" s="4">
        <v>1411</v>
      </c>
      <c r="D38" s="8">
        <v>2.31</v>
      </c>
      <c r="E38" s="4">
        <v>93</v>
      </c>
      <c r="F38" s="8">
        <v>0.38</v>
      </c>
      <c r="G38" s="4">
        <v>1318</v>
      </c>
      <c r="H38" s="8">
        <v>3.61</v>
      </c>
      <c r="I38" s="4">
        <v>0</v>
      </c>
    </row>
    <row r="39" spans="1:9" x14ac:dyDescent="0.15">
      <c r="A39" s="2">
        <v>15</v>
      </c>
      <c r="B39" s="1" t="s">
        <v>93</v>
      </c>
      <c r="C39" s="4">
        <v>1325</v>
      </c>
      <c r="D39" s="8">
        <v>2.17</v>
      </c>
      <c r="E39" s="4">
        <v>435</v>
      </c>
      <c r="F39" s="8">
        <v>1.79</v>
      </c>
      <c r="G39" s="4">
        <v>890</v>
      </c>
      <c r="H39" s="8">
        <v>2.4300000000000002</v>
      </c>
      <c r="I39" s="4">
        <v>0</v>
      </c>
    </row>
    <row r="40" spans="1:9" x14ac:dyDescent="0.15">
      <c r="A40" s="2">
        <v>16</v>
      </c>
      <c r="B40" s="1" t="s">
        <v>90</v>
      </c>
      <c r="C40" s="4">
        <v>1055</v>
      </c>
      <c r="D40" s="8">
        <v>1.73</v>
      </c>
      <c r="E40" s="4">
        <v>32</v>
      </c>
      <c r="F40" s="8">
        <v>0.13</v>
      </c>
      <c r="G40" s="4">
        <v>1023</v>
      </c>
      <c r="H40" s="8">
        <v>2.8</v>
      </c>
      <c r="I40" s="4">
        <v>0</v>
      </c>
    </row>
    <row r="41" spans="1:9" x14ac:dyDescent="0.15">
      <c r="A41" s="2">
        <v>17</v>
      </c>
      <c r="B41" s="1" t="s">
        <v>104</v>
      </c>
      <c r="C41" s="4">
        <v>840</v>
      </c>
      <c r="D41" s="8">
        <v>1.38</v>
      </c>
      <c r="E41" s="4">
        <v>54</v>
      </c>
      <c r="F41" s="8">
        <v>0.22</v>
      </c>
      <c r="G41" s="4">
        <v>774</v>
      </c>
      <c r="H41" s="8">
        <v>2.12</v>
      </c>
      <c r="I41" s="4">
        <v>12</v>
      </c>
    </row>
    <row r="42" spans="1:9" x14ac:dyDescent="0.15">
      <c r="A42" s="2">
        <v>18</v>
      </c>
      <c r="B42" s="1" t="s">
        <v>88</v>
      </c>
      <c r="C42" s="4">
        <v>789</v>
      </c>
      <c r="D42" s="8">
        <v>1.29</v>
      </c>
      <c r="E42" s="4">
        <v>129</v>
      </c>
      <c r="F42" s="8">
        <v>0.53</v>
      </c>
      <c r="G42" s="4">
        <v>660</v>
      </c>
      <c r="H42" s="8">
        <v>1.81</v>
      </c>
      <c r="I42" s="4">
        <v>0</v>
      </c>
    </row>
    <row r="43" spans="1:9" x14ac:dyDescent="0.15">
      <c r="A43" s="2">
        <v>19</v>
      </c>
      <c r="B43" s="1" t="s">
        <v>105</v>
      </c>
      <c r="C43" s="4">
        <v>778</v>
      </c>
      <c r="D43" s="8">
        <v>1.28</v>
      </c>
      <c r="E43" s="4">
        <v>101</v>
      </c>
      <c r="F43" s="8">
        <v>0.41</v>
      </c>
      <c r="G43" s="4">
        <v>675</v>
      </c>
      <c r="H43" s="8">
        <v>1.85</v>
      </c>
      <c r="I43" s="4">
        <v>2</v>
      </c>
    </row>
    <row r="44" spans="1:9" x14ac:dyDescent="0.15">
      <c r="A44" s="2">
        <v>20</v>
      </c>
      <c r="B44" s="1" t="s">
        <v>101</v>
      </c>
      <c r="C44" s="4">
        <v>759</v>
      </c>
      <c r="D44" s="8">
        <v>1.24</v>
      </c>
      <c r="E44" s="4">
        <v>240</v>
      </c>
      <c r="F44" s="8">
        <v>0.99</v>
      </c>
      <c r="G44" s="4">
        <v>519</v>
      </c>
      <c r="H44" s="8">
        <v>1.42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99</v>
      </c>
      <c r="C47" s="4">
        <v>636</v>
      </c>
      <c r="D47" s="8">
        <v>12.68</v>
      </c>
      <c r="E47" s="4">
        <v>535</v>
      </c>
      <c r="F47" s="8">
        <v>25.27</v>
      </c>
      <c r="G47" s="4">
        <v>101</v>
      </c>
      <c r="H47" s="8">
        <v>3.49</v>
      </c>
      <c r="I47" s="4">
        <v>0</v>
      </c>
    </row>
    <row r="48" spans="1:9" x14ac:dyDescent="0.15">
      <c r="A48" s="2">
        <v>2</v>
      </c>
      <c r="B48" s="1" t="s">
        <v>100</v>
      </c>
      <c r="C48" s="4">
        <v>443</v>
      </c>
      <c r="D48" s="8">
        <v>8.83</v>
      </c>
      <c r="E48" s="4">
        <v>350</v>
      </c>
      <c r="F48" s="8">
        <v>16.53</v>
      </c>
      <c r="G48" s="4">
        <v>93</v>
      </c>
      <c r="H48" s="8">
        <v>3.22</v>
      </c>
      <c r="I48" s="4">
        <v>0</v>
      </c>
    </row>
    <row r="49" spans="1:9" x14ac:dyDescent="0.15">
      <c r="A49" s="2">
        <v>3</v>
      </c>
      <c r="B49" s="1" t="s">
        <v>96</v>
      </c>
      <c r="C49" s="4">
        <v>415</v>
      </c>
      <c r="D49" s="8">
        <v>8.2799999999999994</v>
      </c>
      <c r="E49" s="4">
        <v>163</v>
      </c>
      <c r="F49" s="8">
        <v>7.7</v>
      </c>
      <c r="G49" s="4">
        <v>251</v>
      </c>
      <c r="H49" s="8">
        <v>8.69</v>
      </c>
      <c r="I49" s="4">
        <v>1</v>
      </c>
    </row>
    <row r="50" spans="1:9" x14ac:dyDescent="0.15">
      <c r="A50" s="2">
        <v>4</v>
      </c>
      <c r="B50" s="1" t="s">
        <v>94</v>
      </c>
      <c r="C50" s="4">
        <v>311</v>
      </c>
      <c r="D50" s="8">
        <v>6.2</v>
      </c>
      <c r="E50" s="4">
        <v>162</v>
      </c>
      <c r="F50" s="8">
        <v>7.65</v>
      </c>
      <c r="G50" s="4">
        <v>149</v>
      </c>
      <c r="H50" s="8">
        <v>5.16</v>
      </c>
      <c r="I50" s="4">
        <v>0</v>
      </c>
    </row>
    <row r="51" spans="1:9" x14ac:dyDescent="0.15">
      <c r="A51" s="2">
        <v>5</v>
      </c>
      <c r="B51" s="1" t="s">
        <v>87</v>
      </c>
      <c r="C51" s="4">
        <v>284</v>
      </c>
      <c r="D51" s="8">
        <v>5.66</v>
      </c>
      <c r="E51" s="4">
        <v>17</v>
      </c>
      <c r="F51" s="8">
        <v>0.8</v>
      </c>
      <c r="G51" s="4">
        <v>267</v>
      </c>
      <c r="H51" s="8">
        <v>9.24</v>
      </c>
      <c r="I51" s="4">
        <v>0</v>
      </c>
    </row>
    <row r="52" spans="1:9" x14ac:dyDescent="0.15">
      <c r="A52" s="2">
        <v>6</v>
      </c>
      <c r="B52" s="1" t="s">
        <v>86</v>
      </c>
      <c r="C52" s="4">
        <v>280</v>
      </c>
      <c r="D52" s="8">
        <v>5.58</v>
      </c>
      <c r="E52" s="4">
        <v>66</v>
      </c>
      <c r="F52" s="8">
        <v>3.12</v>
      </c>
      <c r="G52" s="4">
        <v>214</v>
      </c>
      <c r="H52" s="8">
        <v>7.4</v>
      </c>
      <c r="I52" s="4">
        <v>0</v>
      </c>
    </row>
    <row r="53" spans="1:9" x14ac:dyDescent="0.15">
      <c r="A53" s="2">
        <v>7</v>
      </c>
      <c r="B53" s="1" t="s">
        <v>92</v>
      </c>
      <c r="C53" s="4">
        <v>260</v>
      </c>
      <c r="D53" s="8">
        <v>5.18</v>
      </c>
      <c r="E53" s="4">
        <v>152</v>
      </c>
      <c r="F53" s="8">
        <v>7.18</v>
      </c>
      <c r="G53" s="4">
        <v>108</v>
      </c>
      <c r="H53" s="8">
        <v>3.74</v>
      </c>
      <c r="I53" s="4">
        <v>0</v>
      </c>
    </row>
    <row r="54" spans="1:9" x14ac:dyDescent="0.15">
      <c r="A54" s="2">
        <v>8</v>
      </c>
      <c r="B54" s="1" t="s">
        <v>85</v>
      </c>
      <c r="C54" s="4">
        <v>225</v>
      </c>
      <c r="D54" s="8">
        <v>4.49</v>
      </c>
      <c r="E54" s="4">
        <v>32</v>
      </c>
      <c r="F54" s="8">
        <v>1.51</v>
      </c>
      <c r="G54" s="4">
        <v>193</v>
      </c>
      <c r="H54" s="8">
        <v>6.68</v>
      </c>
      <c r="I54" s="4">
        <v>0</v>
      </c>
    </row>
    <row r="55" spans="1:9" x14ac:dyDescent="0.15">
      <c r="A55" s="2">
        <v>9</v>
      </c>
      <c r="B55" s="1" t="s">
        <v>103</v>
      </c>
      <c r="C55" s="4">
        <v>158</v>
      </c>
      <c r="D55" s="8">
        <v>3.15</v>
      </c>
      <c r="E55" s="4">
        <v>132</v>
      </c>
      <c r="F55" s="8">
        <v>6.24</v>
      </c>
      <c r="G55" s="4">
        <v>26</v>
      </c>
      <c r="H55" s="8">
        <v>0.9</v>
      </c>
      <c r="I55" s="4">
        <v>0</v>
      </c>
    </row>
    <row r="56" spans="1:9" x14ac:dyDescent="0.15">
      <c r="A56" s="2">
        <v>10</v>
      </c>
      <c r="B56" s="1" t="s">
        <v>102</v>
      </c>
      <c r="C56" s="4">
        <v>157</v>
      </c>
      <c r="D56" s="8">
        <v>3.13</v>
      </c>
      <c r="E56" s="4">
        <v>113</v>
      </c>
      <c r="F56" s="8">
        <v>5.34</v>
      </c>
      <c r="G56" s="4">
        <v>44</v>
      </c>
      <c r="H56" s="8">
        <v>1.52</v>
      </c>
      <c r="I56" s="4">
        <v>0</v>
      </c>
    </row>
    <row r="57" spans="1:9" x14ac:dyDescent="0.15">
      <c r="A57" s="2">
        <v>11</v>
      </c>
      <c r="B57" s="1" t="s">
        <v>88</v>
      </c>
      <c r="C57" s="4">
        <v>111</v>
      </c>
      <c r="D57" s="8">
        <v>2.21</v>
      </c>
      <c r="E57" s="4">
        <v>16</v>
      </c>
      <c r="F57" s="8">
        <v>0.76</v>
      </c>
      <c r="G57" s="4">
        <v>95</v>
      </c>
      <c r="H57" s="8">
        <v>3.29</v>
      </c>
      <c r="I57" s="4">
        <v>0</v>
      </c>
    </row>
    <row r="58" spans="1:9" x14ac:dyDescent="0.15">
      <c r="A58" s="2">
        <v>11</v>
      </c>
      <c r="B58" s="1" t="s">
        <v>91</v>
      </c>
      <c r="C58" s="4">
        <v>111</v>
      </c>
      <c r="D58" s="8">
        <v>2.21</v>
      </c>
      <c r="E58" s="4">
        <v>50</v>
      </c>
      <c r="F58" s="8">
        <v>2.36</v>
      </c>
      <c r="G58" s="4">
        <v>61</v>
      </c>
      <c r="H58" s="8">
        <v>2.11</v>
      </c>
      <c r="I58" s="4">
        <v>0</v>
      </c>
    </row>
    <row r="59" spans="1:9" x14ac:dyDescent="0.15">
      <c r="A59" s="2">
        <v>13</v>
      </c>
      <c r="B59" s="1" t="s">
        <v>93</v>
      </c>
      <c r="C59" s="4">
        <v>107</v>
      </c>
      <c r="D59" s="8">
        <v>2.13</v>
      </c>
      <c r="E59" s="4">
        <v>45</v>
      </c>
      <c r="F59" s="8">
        <v>2.13</v>
      </c>
      <c r="G59" s="4">
        <v>62</v>
      </c>
      <c r="H59" s="8">
        <v>2.15</v>
      </c>
      <c r="I59" s="4">
        <v>0</v>
      </c>
    </row>
    <row r="60" spans="1:9" x14ac:dyDescent="0.15">
      <c r="A60" s="2">
        <v>14</v>
      </c>
      <c r="B60" s="1" t="s">
        <v>89</v>
      </c>
      <c r="C60" s="4">
        <v>93</v>
      </c>
      <c r="D60" s="8">
        <v>1.85</v>
      </c>
      <c r="E60" s="4">
        <v>16</v>
      </c>
      <c r="F60" s="8">
        <v>0.76</v>
      </c>
      <c r="G60" s="4">
        <v>77</v>
      </c>
      <c r="H60" s="8">
        <v>2.66</v>
      </c>
      <c r="I60" s="4">
        <v>0</v>
      </c>
    </row>
    <row r="61" spans="1:9" x14ac:dyDescent="0.15">
      <c r="A61" s="2">
        <v>15</v>
      </c>
      <c r="B61" s="1" t="s">
        <v>97</v>
      </c>
      <c r="C61" s="4">
        <v>92</v>
      </c>
      <c r="D61" s="8">
        <v>1.83</v>
      </c>
      <c r="E61" s="4">
        <v>63</v>
      </c>
      <c r="F61" s="8">
        <v>2.98</v>
      </c>
      <c r="G61" s="4">
        <v>29</v>
      </c>
      <c r="H61" s="8">
        <v>1</v>
      </c>
      <c r="I61" s="4">
        <v>0</v>
      </c>
    </row>
    <row r="62" spans="1:9" x14ac:dyDescent="0.15">
      <c r="A62" s="2">
        <v>16</v>
      </c>
      <c r="B62" s="1" t="s">
        <v>98</v>
      </c>
      <c r="C62" s="4">
        <v>91</v>
      </c>
      <c r="D62" s="8">
        <v>1.81</v>
      </c>
      <c r="E62" s="4">
        <v>21</v>
      </c>
      <c r="F62" s="8">
        <v>0.99</v>
      </c>
      <c r="G62" s="4">
        <v>70</v>
      </c>
      <c r="H62" s="8">
        <v>2.42</v>
      </c>
      <c r="I62" s="4">
        <v>0</v>
      </c>
    </row>
    <row r="63" spans="1:9" x14ac:dyDescent="0.15">
      <c r="A63" s="2">
        <v>17</v>
      </c>
      <c r="B63" s="1" t="s">
        <v>95</v>
      </c>
      <c r="C63" s="4">
        <v>89</v>
      </c>
      <c r="D63" s="8">
        <v>1.77</v>
      </c>
      <c r="E63" s="4">
        <v>6</v>
      </c>
      <c r="F63" s="8">
        <v>0.28000000000000003</v>
      </c>
      <c r="G63" s="4">
        <v>83</v>
      </c>
      <c r="H63" s="8">
        <v>2.87</v>
      </c>
      <c r="I63" s="4">
        <v>0</v>
      </c>
    </row>
    <row r="64" spans="1:9" x14ac:dyDescent="0.15">
      <c r="A64" s="2">
        <v>18</v>
      </c>
      <c r="B64" s="1" t="s">
        <v>106</v>
      </c>
      <c r="C64" s="4">
        <v>84</v>
      </c>
      <c r="D64" s="8">
        <v>1.67</v>
      </c>
      <c r="E64" s="4">
        <v>15</v>
      </c>
      <c r="F64" s="8">
        <v>0.71</v>
      </c>
      <c r="G64" s="4">
        <v>69</v>
      </c>
      <c r="H64" s="8">
        <v>2.39</v>
      </c>
      <c r="I64" s="4">
        <v>0</v>
      </c>
    </row>
    <row r="65" spans="1:9" x14ac:dyDescent="0.15">
      <c r="A65" s="2">
        <v>19</v>
      </c>
      <c r="B65" s="1" t="s">
        <v>90</v>
      </c>
      <c r="C65" s="4">
        <v>68</v>
      </c>
      <c r="D65" s="8">
        <v>1.36</v>
      </c>
      <c r="E65" s="4">
        <v>1</v>
      </c>
      <c r="F65" s="8">
        <v>0.05</v>
      </c>
      <c r="G65" s="4">
        <v>67</v>
      </c>
      <c r="H65" s="8">
        <v>2.3199999999999998</v>
      </c>
      <c r="I65" s="4">
        <v>0</v>
      </c>
    </row>
    <row r="66" spans="1:9" x14ac:dyDescent="0.15">
      <c r="A66" s="2">
        <v>20</v>
      </c>
      <c r="B66" s="1" t="s">
        <v>105</v>
      </c>
      <c r="C66" s="4">
        <v>55</v>
      </c>
      <c r="D66" s="8">
        <v>1.1000000000000001</v>
      </c>
      <c r="E66" s="4">
        <v>7</v>
      </c>
      <c r="F66" s="8">
        <v>0.33</v>
      </c>
      <c r="G66" s="4">
        <v>48</v>
      </c>
      <c r="H66" s="8">
        <v>1.66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96</v>
      </c>
      <c r="C69" s="4">
        <v>650</v>
      </c>
      <c r="D69" s="8">
        <v>14.32</v>
      </c>
      <c r="E69" s="4">
        <v>417</v>
      </c>
      <c r="F69" s="8">
        <v>20.75</v>
      </c>
      <c r="G69" s="4">
        <v>232</v>
      </c>
      <c r="H69" s="8">
        <v>9.2200000000000006</v>
      </c>
      <c r="I69" s="4">
        <v>1</v>
      </c>
    </row>
    <row r="70" spans="1:9" x14ac:dyDescent="0.15">
      <c r="A70" s="2">
        <v>2</v>
      </c>
      <c r="B70" s="1" t="s">
        <v>99</v>
      </c>
      <c r="C70" s="4">
        <v>527</v>
      </c>
      <c r="D70" s="8">
        <v>11.61</v>
      </c>
      <c r="E70" s="4">
        <v>427</v>
      </c>
      <c r="F70" s="8">
        <v>21.24</v>
      </c>
      <c r="G70" s="4">
        <v>100</v>
      </c>
      <c r="H70" s="8">
        <v>3.97</v>
      </c>
      <c r="I70" s="4">
        <v>0</v>
      </c>
    </row>
    <row r="71" spans="1:9" x14ac:dyDescent="0.15">
      <c r="A71" s="2">
        <v>3</v>
      </c>
      <c r="B71" s="1" t="s">
        <v>100</v>
      </c>
      <c r="C71" s="4">
        <v>356</v>
      </c>
      <c r="D71" s="8">
        <v>7.84</v>
      </c>
      <c r="E71" s="4">
        <v>267</v>
      </c>
      <c r="F71" s="8">
        <v>13.28</v>
      </c>
      <c r="G71" s="4">
        <v>89</v>
      </c>
      <c r="H71" s="8">
        <v>3.54</v>
      </c>
      <c r="I71" s="4">
        <v>0</v>
      </c>
    </row>
    <row r="72" spans="1:9" x14ac:dyDescent="0.15">
      <c r="A72" s="2">
        <v>4</v>
      </c>
      <c r="B72" s="1" t="s">
        <v>94</v>
      </c>
      <c r="C72" s="4">
        <v>297</v>
      </c>
      <c r="D72" s="8">
        <v>6.54</v>
      </c>
      <c r="E72" s="4">
        <v>141</v>
      </c>
      <c r="F72" s="8">
        <v>7.01</v>
      </c>
      <c r="G72" s="4">
        <v>156</v>
      </c>
      <c r="H72" s="8">
        <v>6.2</v>
      </c>
      <c r="I72" s="4">
        <v>0</v>
      </c>
    </row>
    <row r="73" spans="1:9" x14ac:dyDescent="0.15">
      <c r="A73" s="2">
        <v>5</v>
      </c>
      <c r="B73" s="1" t="s">
        <v>86</v>
      </c>
      <c r="C73" s="4">
        <v>203</v>
      </c>
      <c r="D73" s="8">
        <v>4.47</v>
      </c>
      <c r="E73" s="4">
        <v>36</v>
      </c>
      <c r="F73" s="8">
        <v>1.79</v>
      </c>
      <c r="G73" s="4">
        <v>167</v>
      </c>
      <c r="H73" s="8">
        <v>6.64</v>
      </c>
      <c r="I73" s="4">
        <v>0</v>
      </c>
    </row>
    <row r="74" spans="1:9" x14ac:dyDescent="0.15">
      <c r="A74" s="2">
        <v>6</v>
      </c>
      <c r="B74" s="1" t="s">
        <v>87</v>
      </c>
      <c r="C74" s="4">
        <v>202</v>
      </c>
      <c r="D74" s="8">
        <v>4.45</v>
      </c>
      <c r="E74" s="4">
        <v>14</v>
      </c>
      <c r="F74" s="8">
        <v>0.7</v>
      </c>
      <c r="G74" s="4">
        <v>188</v>
      </c>
      <c r="H74" s="8">
        <v>7.47</v>
      </c>
      <c r="I74" s="4">
        <v>0</v>
      </c>
    </row>
    <row r="75" spans="1:9" x14ac:dyDescent="0.15">
      <c r="A75" s="2">
        <v>7</v>
      </c>
      <c r="B75" s="1" t="s">
        <v>92</v>
      </c>
      <c r="C75" s="4">
        <v>184</v>
      </c>
      <c r="D75" s="8">
        <v>4.05</v>
      </c>
      <c r="E75" s="4">
        <v>104</v>
      </c>
      <c r="F75" s="8">
        <v>5.17</v>
      </c>
      <c r="G75" s="4">
        <v>80</v>
      </c>
      <c r="H75" s="8">
        <v>3.18</v>
      </c>
      <c r="I75" s="4">
        <v>0</v>
      </c>
    </row>
    <row r="76" spans="1:9" x14ac:dyDescent="0.15">
      <c r="A76" s="2">
        <v>8</v>
      </c>
      <c r="B76" s="1" t="s">
        <v>103</v>
      </c>
      <c r="C76" s="4">
        <v>181</v>
      </c>
      <c r="D76" s="8">
        <v>3.99</v>
      </c>
      <c r="E76" s="4">
        <v>146</v>
      </c>
      <c r="F76" s="8">
        <v>7.26</v>
      </c>
      <c r="G76" s="4">
        <v>35</v>
      </c>
      <c r="H76" s="8">
        <v>1.39</v>
      </c>
      <c r="I76" s="4">
        <v>0</v>
      </c>
    </row>
    <row r="77" spans="1:9" x14ac:dyDescent="0.15">
      <c r="A77" s="2">
        <v>9</v>
      </c>
      <c r="B77" s="1" t="s">
        <v>85</v>
      </c>
      <c r="C77" s="4">
        <v>173</v>
      </c>
      <c r="D77" s="8">
        <v>3.81</v>
      </c>
      <c r="E77" s="4">
        <v>27</v>
      </c>
      <c r="F77" s="8">
        <v>1.34</v>
      </c>
      <c r="G77" s="4">
        <v>146</v>
      </c>
      <c r="H77" s="8">
        <v>5.8</v>
      </c>
      <c r="I77" s="4">
        <v>0</v>
      </c>
    </row>
    <row r="78" spans="1:9" x14ac:dyDescent="0.15">
      <c r="A78" s="2">
        <v>10</v>
      </c>
      <c r="B78" s="1" t="s">
        <v>97</v>
      </c>
      <c r="C78" s="4">
        <v>168</v>
      </c>
      <c r="D78" s="8">
        <v>3.7</v>
      </c>
      <c r="E78" s="4">
        <v>95</v>
      </c>
      <c r="F78" s="8">
        <v>4.7300000000000004</v>
      </c>
      <c r="G78" s="4">
        <v>73</v>
      </c>
      <c r="H78" s="8">
        <v>2.9</v>
      </c>
      <c r="I78" s="4">
        <v>0</v>
      </c>
    </row>
    <row r="79" spans="1:9" x14ac:dyDescent="0.15">
      <c r="A79" s="2">
        <v>11</v>
      </c>
      <c r="B79" s="1" t="s">
        <v>102</v>
      </c>
      <c r="C79" s="4">
        <v>147</v>
      </c>
      <c r="D79" s="8">
        <v>3.24</v>
      </c>
      <c r="E79" s="4">
        <v>84</v>
      </c>
      <c r="F79" s="8">
        <v>4.18</v>
      </c>
      <c r="G79" s="4">
        <v>63</v>
      </c>
      <c r="H79" s="8">
        <v>2.5</v>
      </c>
      <c r="I79" s="4">
        <v>0</v>
      </c>
    </row>
    <row r="80" spans="1:9" x14ac:dyDescent="0.15">
      <c r="A80" s="2">
        <v>12</v>
      </c>
      <c r="B80" s="1" t="s">
        <v>98</v>
      </c>
      <c r="C80" s="4">
        <v>137</v>
      </c>
      <c r="D80" s="8">
        <v>3.02</v>
      </c>
      <c r="E80" s="4">
        <v>31</v>
      </c>
      <c r="F80" s="8">
        <v>1.54</v>
      </c>
      <c r="G80" s="4">
        <v>106</v>
      </c>
      <c r="H80" s="8">
        <v>4.21</v>
      </c>
      <c r="I80" s="4">
        <v>0</v>
      </c>
    </row>
    <row r="81" spans="1:9" x14ac:dyDescent="0.15">
      <c r="A81" s="2">
        <v>13</v>
      </c>
      <c r="B81" s="1" t="s">
        <v>95</v>
      </c>
      <c r="C81" s="4">
        <v>129</v>
      </c>
      <c r="D81" s="8">
        <v>2.84</v>
      </c>
      <c r="E81" s="4">
        <v>16</v>
      </c>
      <c r="F81" s="8">
        <v>0.8</v>
      </c>
      <c r="G81" s="4">
        <v>113</v>
      </c>
      <c r="H81" s="8">
        <v>4.49</v>
      </c>
      <c r="I81" s="4">
        <v>0</v>
      </c>
    </row>
    <row r="82" spans="1:9" x14ac:dyDescent="0.15">
      <c r="A82" s="2">
        <v>14</v>
      </c>
      <c r="B82" s="1" t="s">
        <v>91</v>
      </c>
      <c r="C82" s="4">
        <v>84</v>
      </c>
      <c r="D82" s="8">
        <v>1.85</v>
      </c>
      <c r="E82" s="4">
        <v>42</v>
      </c>
      <c r="F82" s="8">
        <v>2.09</v>
      </c>
      <c r="G82" s="4">
        <v>42</v>
      </c>
      <c r="H82" s="8">
        <v>1.67</v>
      </c>
      <c r="I82" s="4">
        <v>0</v>
      </c>
    </row>
    <row r="83" spans="1:9" x14ac:dyDescent="0.15">
      <c r="A83" s="2">
        <v>15</v>
      </c>
      <c r="B83" s="1" t="s">
        <v>107</v>
      </c>
      <c r="C83" s="4">
        <v>83</v>
      </c>
      <c r="D83" s="8">
        <v>1.83</v>
      </c>
      <c r="E83" s="4">
        <v>4</v>
      </c>
      <c r="F83" s="8">
        <v>0.2</v>
      </c>
      <c r="G83" s="4">
        <v>79</v>
      </c>
      <c r="H83" s="8">
        <v>3.14</v>
      </c>
      <c r="I83" s="4">
        <v>0</v>
      </c>
    </row>
    <row r="84" spans="1:9" x14ac:dyDescent="0.15">
      <c r="A84" s="2">
        <v>16</v>
      </c>
      <c r="B84" s="1" t="s">
        <v>93</v>
      </c>
      <c r="C84" s="4">
        <v>77</v>
      </c>
      <c r="D84" s="8">
        <v>1.7</v>
      </c>
      <c r="E84" s="4">
        <v>30</v>
      </c>
      <c r="F84" s="8">
        <v>1.49</v>
      </c>
      <c r="G84" s="4">
        <v>47</v>
      </c>
      <c r="H84" s="8">
        <v>1.87</v>
      </c>
      <c r="I84" s="4">
        <v>0</v>
      </c>
    </row>
    <row r="85" spans="1:9" x14ac:dyDescent="0.15">
      <c r="A85" s="2">
        <v>17</v>
      </c>
      <c r="B85" s="1" t="s">
        <v>104</v>
      </c>
      <c r="C85" s="4">
        <v>72</v>
      </c>
      <c r="D85" s="8">
        <v>1.59</v>
      </c>
      <c r="E85" s="4">
        <v>4</v>
      </c>
      <c r="F85" s="8">
        <v>0.2</v>
      </c>
      <c r="G85" s="4">
        <v>66</v>
      </c>
      <c r="H85" s="8">
        <v>2.62</v>
      </c>
      <c r="I85" s="4">
        <v>2</v>
      </c>
    </row>
    <row r="86" spans="1:9" x14ac:dyDescent="0.15">
      <c r="A86" s="2">
        <v>18</v>
      </c>
      <c r="B86" s="1" t="s">
        <v>90</v>
      </c>
      <c r="C86" s="4">
        <v>70</v>
      </c>
      <c r="D86" s="8">
        <v>1.54</v>
      </c>
      <c r="E86" s="4">
        <v>1</v>
      </c>
      <c r="F86" s="8">
        <v>0.05</v>
      </c>
      <c r="G86" s="4">
        <v>69</v>
      </c>
      <c r="H86" s="8">
        <v>2.74</v>
      </c>
      <c r="I86" s="4">
        <v>0</v>
      </c>
    </row>
    <row r="87" spans="1:9" x14ac:dyDescent="0.15">
      <c r="A87" s="2">
        <v>19</v>
      </c>
      <c r="B87" s="1" t="s">
        <v>108</v>
      </c>
      <c r="C87" s="4">
        <v>61</v>
      </c>
      <c r="D87" s="8">
        <v>1.34</v>
      </c>
      <c r="E87" s="4">
        <v>1</v>
      </c>
      <c r="F87" s="8">
        <v>0.05</v>
      </c>
      <c r="G87" s="4">
        <v>52</v>
      </c>
      <c r="H87" s="8">
        <v>2.0699999999999998</v>
      </c>
      <c r="I87" s="4">
        <v>8</v>
      </c>
    </row>
    <row r="88" spans="1:9" x14ac:dyDescent="0.15">
      <c r="A88" s="2">
        <v>20</v>
      </c>
      <c r="B88" s="1" t="s">
        <v>105</v>
      </c>
      <c r="C88" s="4">
        <v>57</v>
      </c>
      <c r="D88" s="8">
        <v>1.26</v>
      </c>
      <c r="E88" s="4">
        <v>6</v>
      </c>
      <c r="F88" s="8">
        <v>0.3</v>
      </c>
      <c r="G88" s="4">
        <v>51</v>
      </c>
      <c r="H88" s="8">
        <v>2.0299999999999998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96</v>
      </c>
      <c r="C91" s="4">
        <v>325</v>
      </c>
      <c r="D91" s="8">
        <v>9.6999999999999993</v>
      </c>
      <c r="E91" s="4">
        <v>165</v>
      </c>
      <c r="F91" s="8">
        <v>15.05</v>
      </c>
      <c r="G91" s="4">
        <v>160</v>
      </c>
      <c r="H91" s="8">
        <v>7.1</v>
      </c>
      <c r="I91" s="4">
        <v>0</v>
      </c>
    </row>
    <row r="92" spans="1:9" x14ac:dyDescent="0.15">
      <c r="A92" s="2">
        <v>2</v>
      </c>
      <c r="B92" s="1" t="s">
        <v>99</v>
      </c>
      <c r="C92" s="4">
        <v>319</v>
      </c>
      <c r="D92" s="8">
        <v>9.52</v>
      </c>
      <c r="E92" s="4">
        <v>214</v>
      </c>
      <c r="F92" s="8">
        <v>19.53</v>
      </c>
      <c r="G92" s="4">
        <v>105</v>
      </c>
      <c r="H92" s="8">
        <v>4.66</v>
      </c>
      <c r="I92" s="4">
        <v>0</v>
      </c>
    </row>
    <row r="93" spans="1:9" x14ac:dyDescent="0.15">
      <c r="A93" s="2">
        <v>3</v>
      </c>
      <c r="B93" s="1" t="s">
        <v>91</v>
      </c>
      <c r="C93" s="4">
        <v>290</v>
      </c>
      <c r="D93" s="8">
        <v>8.65</v>
      </c>
      <c r="E93" s="4">
        <v>19</v>
      </c>
      <c r="F93" s="8">
        <v>1.73</v>
      </c>
      <c r="G93" s="4">
        <v>271</v>
      </c>
      <c r="H93" s="8">
        <v>12.02</v>
      </c>
      <c r="I93" s="4">
        <v>0</v>
      </c>
    </row>
    <row r="94" spans="1:9" x14ac:dyDescent="0.15">
      <c r="A94" s="2">
        <v>4</v>
      </c>
      <c r="B94" s="1" t="s">
        <v>94</v>
      </c>
      <c r="C94" s="4">
        <v>261</v>
      </c>
      <c r="D94" s="8">
        <v>7.79</v>
      </c>
      <c r="E94" s="4">
        <v>66</v>
      </c>
      <c r="F94" s="8">
        <v>6.02</v>
      </c>
      <c r="G94" s="4">
        <v>194</v>
      </c>
      <c r="H94" s="8">
        <v>8.61</v>
      </c>
      <c r="I94" s="4">
        <v>1</v>
      </c>
    </row>
    <row r="95" spans="1:9" x14ac:dyDescent="0.15">
      <c r="A95" s="2">
        <v>5</v>
      </c>
      <c r="B95" s="1" t="s">
        <v>97</v>
      </c>
      <c r="C95" s="4">
        <v>216</v>
      </c>
      <c r="D95" s="8">
        <v>6.44</v>
      </c>
      <c r="E95" s="4">
        <v>126</v>
      </c>
      <c r="F95" s="8">
        <v>11.5</v>
      </c>
      <c r="G95" s="4">
        <v>90</v>
      </c>
      <c r="H95" s="8">
        <v>3.99</v>
      </c>
      <c r="I95" s="4">
        <v>0</v>
      </c>
    </row>
    <row r="96" spans="1:9" x14ac:dyDescent="0.15">
      <c r="A96" s="2">
        <v>6</v>
      </c>
      <c r="B96" s="1" t="s">
        <v>100</v>
      </c>
      <c r="C96" s="4">
        <v>212</v>
      </c>
      <c r="D96" s="8">
        <v>6.32</v>
      </c>
      <c r="E96" s="4">
        <v>143</v>
      </c>
      <c r="F96" s="8">
        <v>13.05</v>
      </c>
      <c r="G96" s="4">
        <v>69</v>
      </c>
      <c r="H96" s="8">
        <v>3.06</v>
      </c>
      <c r="I96" s="4">
        <v>0</v>
      </c>
    </row>
    <row r="97" spans="1:9" x14ac:dyDescent="0.15">
      <c r="A97" s="2">
        <v>7</v>
      </c>
      <c r="B97" s="1" t="s">
        <v>92</v>
      </c>
      <c r="C97" s="4">
        <v>173</v>
      </c>
      <c r="D97" s="8">
        <v>5.16</v>
      </c>
      <c r="E97" s="4">
        <v>56</v>
      </c>
      <c r="F97" s="8">
        <v>5.1100000000000003</v>
      </c>
      <c r="G97" s="4">
        <v>117</v>
      </c>
      <c r="H97" s="8">
        <v>5.19</v>
      </c>
      <c r="I97" s="4">
        <v>0</v>
      </c>
    </row>
    <row r="98" spans="1:9" x14ac:dyDescent="0.15">
      <c r="A98" s="2">
        <v>8</v>
      </c>
      <c r="B98" s="1" t="s">
        <v>85</v>
      </c>
      <c r="C98" s="4">
        <v>113</v>
      </c>
      <c r="D98" s="8">
        <v>3.37</v>
      </c>
      <c r="E98" s="4">
        <v>14</v>
      </c>
      <c r="F98" s="8">
        <v>1.28</v>
      </c>
      <c r="G98" s="4">
        <v>99</v>
      </c>
      <c r="H98" s="8">
        <v>4.3899999999999997</v>
      </c>
      <c r="I98" s="4">
        <v>0</v>
      </c>
    </row>
    <row r="99" spans="1:9" x14ac:dyDescent="0.15">
      <c r="A99" s="2">
        <v>9</v>
      </c>
      <c r="B99" s="1" t="s">
        <v>95</v>
      </c>
      <c r="C99" s="4">
        <v>105</v>
      </c>
      <c r="D99" s="8">
        <v>3.13</v>
      </c>
      <c r="E99" s="4">
        <v>3</v>
      </c>
      <c r="F99" s="8">
        <v>0.27</v>
      </c>
      <c r="G99" s="4">
        <v>102</v>
      </c>
      <c r="H99" s="8">
        <v>4.53</v>
      </c>
      <c r="I99" s="4">
        <v>0</v>
      </c>
    </row>
    <row r="100" spans="1:9" x14ac:dyDescent="0.15">
      <c r="A100" s="2">
        <v>10</v>
      </c>
      <c r="B100" s="1" t="s">
        <v>103</v>
      </c>
      <c r="C100" s="4">
        <v>103</v>
      </c>
      <c r="D100" s="8">
        <v>3.07</v>
      </c>
      <c r="E100" s="4">
        <v>84</v>
      </c>
      <c r="F100" s="8">
        <v>7.66</v>
      </c>
      <c r="G100" s="4">
        <v>19</v>
      </c>
      <c r="H100" s="8">
        <v>0.84</v>
      </c>
      <c r="I100" s="4">
        <v>0</v>
      </c>
    </row>
    <row r="101" spans="1:9" x14ac:dyDescent="0.15">
      <c r="A101" s="2">
        <v>11</v>
      </c>
      <c r="B101" s="1" t="s">
        <v>102</v>
      </c>
      <c r="C101" s="4">
        <v>99</v>
      </c>
      <c r="D101" s="8">
        <v>2.95</v>
      </c>
      <c r="E101" s="4">
        <v>49</v>
      </c>
      <c r="F101" s="8">
        <v>4.47</v>
      </c>
      <c r="G101" s="4">
        <v>50</v>
      </c>
      <c r="H101" s="8">
        <v>2.2200000000000002</v>
      </c>
      <c r="I101" s="4">
        <v>0</v>
      </c>
    </row>
    <row r="102" spans="1:9" x14ac:dyDescent="0.15">
      <c r="A102" s="2">
        <v>12</v>
      </c>
      <c r="B102" s="1" t="s">
        <v>86</v>
      </c>
      <c r="C102" s="4">
        <v>93</v>
      </c>
      <c r="D102" s="8">
        <v>2.77</v>
      </c>
      <c r="E102" s="4">
        <v>25</v>
      </c>
      <c r="F102" s="8">
        <v>2.2799999999999998</v>
      </c>
      <c r="G102" s="4">
        <v>68</v>
      </c>
      <c r="H102" s="8">
        <v>3.02</v>
      </c>
      <c r="I102" s="4">
        <v>0</v>
      </c>
    </row>
    <row r="103" spans="1:9" x14ac:dyDescent="0.15">
      <c r="A103" s="2">
        <v>12</v>
      </c>
      <c r="B103" s="1" t="s">
        <v>87</v>
      </c>
      <c r="C103" s="4">
        <v>93</v>
      </c>
      <c r="D103" s="8">
        <v>2.77</v>
      </c>
      <c r="E103" s="4">
        <v>10</v>
      </c>
      <c r="F103" s="8">
        <v>0.91</v>
      </c>
      <c r="G103" s="4">
        <v>83</v>
      </c>
      <c r="H103" s="8">
        <v>3.68</v>
      </c>
      <c r="I103" s="4">
        <v>0</v>
      </c>
    </row>
    <row r="104" spans="1:9" x14ac:dyDescent="0.15">
      <c r="A104" s="2">
        <v>14</v>
      </c>
      <c r="B104" s="1" t="s">
        <v>104</v>
      </c>
      <c r="C104" s="4">
        <v>87</v>
      </c>
      <c r="D104" s="8">
        <v>2.6</v>
      </c>
      <c r="E104" s="4">
        <v>3</v>
      </c>
      <c r="F104" s="8">
        <v>0.27</v>
      </c>
      <c r="G104" s="4">
        <v>83</v>
      </c>
      <c r="H104" s="8">
        <v>3.68</v>
      </c>
      <c r="I104" s="4">
        <v>1</v>
      </c>
    </row>
    <row r="105" spans="1:9" x14ac:dyDescent="0.15">
      <c r="A105" s="2">
        <v>15</v>
      </c>
      <c r="B105" s="1" t="s">
        <v>90</v>
      </c>
      <c r="C105" s="4">
        <v>83</v>
      </c>
      <c r="D105" s="8">
        <v>2.48</v>
      </c>
      <c r="E105" s="4">
        <v>1</v>
      </c>
      <c r="F105" s="8">
        <v>0.09</v>
      </c>
      <c r="G105" s="4">
        <v>82</v>
      </c>
      <c r="H105" s="8">
        <v>3.64</v>
      </c>
      <c r="I105" s="4">
        <v>0</v>
      </c>
    </row>
    <row r="106" spans="1:9" x14ac:dyDescent="0.15">
      <c r="A106" s="2">
        <v>16</v>
      </c>
      <c r="B106" s="1" t="s">
        <v>98</v>
      </c>
      <c r="C106" s="4">
        <v>76</v>
      </c>
      <c r="D106" s="8">
        <v>2.27</v>
      </c>
      <c r="E106" s="4">
        <v>16</v>
      </c>
      <c r="F106" s="8">
        <v>1.46</v>
      </c>
      <c r="G106" s="4">
        <v>60</v>
      </c>
      <c r="H106" s="8">
        <v>2.66</v>
      </c>
      <c r="I106" s="4">
        <v>0</v>
      </c>
    </row>
    <row r="107" spans="1:9" x14ac:dyDescent="0.15">
      <c r="A107" s="2">
        <v>17</v>
      </c>
      <c r="B107" s="1" t="s">
        <v>105</v>
      </c>
      <c r="C107" s="4">
        <v>61</v>
      </c>
      <c r="D107" s="8">
        <v>1.82</v>
      </c>
      <c r="E107" s="4">
        <v>6</v>
      </c>
      <c r="F107" s="8">
        <v>0.55000000000000004</v>
      </c>
      <c r="G107" s="4">
        <v>55</v>
      </c>
      <c r="H107" s="8">
        <v>2.44</v>
      </c>
      <c r="I107" s="4">
        <v>0</v>
      </c>
    </row>
    <row r="108" spans="1:9" x14ac:dyDescent="0.15">
      <c r="A108" s="2">
        <v>18</v>
      </c>
      <c r="B108" s="1" t="s">
        <v>101</v>
      </c>
      <c r="C108" s="4">
        <v>59</v>
      </c>
      <c r="D108" s="8">
        <v>1.76</v>
      </c>
      <c r="E108" s="4">
        <v>11</v>
      </c>
      <c r="F108" s="8">
        <v>1</v>
      </c>
      <c r="G108" s="4">
        <v>48</v>
      </c>
      <c r="H108" s="8">
        <v>2.13</v>
      </c>
      <c r="I108" s="4">
        <v>0</v>
      </c>
    </row>
    <row r="109" spans="1:9" x14ac:dyDescent="0.15">
      <c r="A109" s="2">
        <v>19</v>
      </c>
      <c r="B109" s="1" t="s">
        <v>109</v>
      </c>
      <c r="C109" s="4">
        <v>47</v>
      </c>
      <c r="D109" s="8">
        <v>1.4</v>
      </c>
      <c r="E109" s="4">
        <v>0</v>
      </c>
      <c r="F109" s="8">
        <v>0</v>
      </c>
      <c r="G109" s="4">
        <v>47</v>
      </c>
      <c r="H109" s="8">
        <v>2.09</v>
      </c>
      <c r="I109" s="4">
        <v>0</v>
      </c>
    </row>
    <row r="110" spans="1:9" x14ac:dyDescent="0.15">
      <c r="A110" s="2">
        <v>20</v>
      </c>
      <c r="B110" s="1" t="s">
        <v>93</v>
      </c>
      <c r="C110" s="4">
        <v>45</v>
      </c>
      <c r="D110" s="8">
        <v>1.34</v>
      </c>
      <c r="E110" s="4">
        <v>15</v>
      </c>
      <c r="F110" s="8">
        <v>1.37</v>
      </c>
      <c r="G110" s="4">
        <v>30</v>
      </c>
      <c r="H110" s="8">
        <v>1.33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99</v>
      </c>
      <c r="C113" s="4">
        <v>1322</v>
      </c>
      <c r="D113" s="8">
        <v>18.649999999999999</v>
      </c>
      <c r="E113" s="4">
        <v>976</v>
      </c>
      <c r="F113" s="8">
        <v>34.17</v>
      </c>
      <c r="G113" s="4">
        <v>346</v>
      </c>
      <c r="H113" s="8">
        <v>8.2200000000000006</v>
      </c>
      <c r="I113" s="4">
        <v>0</v>
      </c>
    </row>
    <row r="114" spans="1:9" x14ac:dyDescent="0.15">
      <c r="A114" s="2">
        <v>2</v>
      </c>
      <c r="B114" s="1" t="s">
        <v>97</v>
      </c>
      <c r="C114" s="4">
        <v>636</v>
      </c>
      <c r="D114" s="8">
        <v>8.9700000000000006</v>
      </c>
      <c r="E114" s="4">
        <v>467</v>
      </c>
      <c r="F114" s="8">
        <v>16.350000000000001</v>
      </c>
      <c r="G114" s="4">
        <v>169</v>
      </c>
      <c r="H114" s="8">
        <v>4.01</v>
      </c>
      <c r="I114" s="4">
        <v>0</v>
      </c>
    </row>
    <row r="115" spans="1:9" x14ac:dyDescent="0.15">
      <c r="A115" s="2">
        <v>3</v>
      </c>
      <c r="B115" s="1" t="s">
        <v>96</v>
      </c>
      <c r="C115" s="4">
        <v>625</v>
      </c>
      <c r="D115" s="8">
        <v>8.82</v>
      </c>
      <c r="E115" s="4">
        <v>230</v>
      </c>
      <c r="F115" s="8">
        <v>8.0500000000000007</v>
      </c>
      <c r="G115" s="4">
        <v>392</v>
      </c>
      <c r="H115" s="8">
        <v>9.31</v>
      </c>
      <c r="I115" s="4">
        <v>3</v>
      </c>
    </row>
    <row r="116" spans="1:9" x14ac:dyDescent="0.15">
      <c r="A116" s="2">
        <v>4</v>
      </c>
      <c r="B116" s="1" t="s">
        <v>94</v>
      </c>
      <c r="C116" s="4">
        <v>476</v>
      </c>
      <c r="D116" s="8">
        <v>6.71</v>
      </c>
      <c r="E116" s="4">
        <v>163</v>
      </c>
      <c r="F116" s="8">
        <v>5.71</v>
      </c>
      <c r="G116" s="4">
        <v>311</v>
      </c>
      <c r="H116" s="8">
        <v>7.39</v>
      </c>
      <c r="I116" s="4">
        <v>2</v>
      </c>
    </row>
    <row r="117" spans="1:9" x14ac:dyDescent="0.15">
      <c r="A117" s="2">
        <v>5</v>
      </c>
      <c r="B117" s="1" t="s">
        <v>100</v>
      </c>
      <c r="C117" s="4">
        <v>406</v>
      </c>
      <c r="D117" s="8">
        <v>5.73</v>
      </c>
      <c r="E117" s="4">
        <v>288</v>
      </c>
      <c r="F117" s="8">
        <v>10.08</v>
      </c>
      <c r="G117" s="4">
        <v>118</v>
      </c>
      <c r="H117" s="8">
        <v>2.8</v>
      </c>
      <c r="I117" s="4">
        <v>0</v>
      </c>
    </row>
    <row r="118" spans="1:9" x14ac:dyDescent="0.15">
      <c r="A118" s="2">
        <v>6</v>
      </c>
      <c r="B118" s="1" t="s">
        <v>91</v>
      </c>
      <c r="C118" s="4">
        <v>317</v>
      </c>
      <c r="D118" s="8">
        <v>4.47</v>
      </c>
      <c r="E118" s="4">
        <v>85</v>
      </c>
      <c r="F118" s="8">
        <v>2.98</v>
      </c>
      <c r="G118" s="4">
        <v>232</v>
      </c>
      <c r="H118" s="8">
        <v>5.51</v>
      </c>
      <c r="I118" s="4">
        <v>0</v>
      </c>
    </row>
    <row r="119" spans="1:9" x14ac:dyDescent="0.15">
      <c r="A119" s="2">
        <v>7</v>
      </c>
      <c r="B119" s="1" t="s">
        <v>103</v>
      </c>
      <c r="C119" s="4">
        <v>242</v>
      </c>
      <c r="D119" s="8">
        <v>3.41</v>
      </c>
      <c r="E119" s="4">
        <v>189</v>
      </c>
      <c r="F119" s="8">
        <v>6.62</v>
      </c>
      <c r="G119" s="4">
        <v>53</v>
      </c>
      <c r="H119" s="8">
        <v>1.26</v>
      </c>
      <c r="I119" s="4">
        <v>0</v>
      </c>
    </row>
    <row r="120" spans="1:9" x14ac:dyDescent="0.15">
      <c r="A120" s="2">
        <v>8</v>
      </c>
      <c r="B120" s="1" t="s">
        <v>92</v>
      </c>
      <c r="C120" s="4">
        <v>229</v>
      </c>
      <c r="D120" s="8">
        <v>3.23</v>
      </c>
      <c r="E120" s="4">
        <v>83</v>
      </c>
      <c r="F120" s="8">
        <v>2.91</v>
      </c>
      <c r="G120" s="4">
        <v>146</v>
      </c>
      <c r="H120" s="8">
        <v>3.47</v>
      </c>
      <c r="I120" s="4">
        <v>0</v>
      </c>
    </row>
    <row r="121" spans="1:9" x14ac:dyDescent="0.15">
      <c r="A121" s="2">
        <v>9</v>
      </c>
      <c r="B121" s="1" t="s">
        <v>98</v>
      </c>
      <c r="C121" s="4">
        <v>226</v>
      </c>
      <c r="D121" s="8">
        <v>3.19</v>
      </c>
      <c r="E121" s="4">
        <v>47</v>
      </c>
      <c r="F121" s="8">
        <v>1.65</v>
      </c>
      <c r="G121" s="4">
        <v>179</v>
      </c>
      <c r="H121" s="8">
        <v>4.25</v>
      </c>
      <c r="I121" s="4">
        <v>0</v>
      </c>
    </row>
    <row r="122" spans="1:9" x14ac:dyDescent="0.15">
      <c r="A122" s="2">
        <v>10</v>
      </c>
      <c r="B122" s="1" t="s">
        <v>95</v>
      </c>
      <c r="C122" s="4">
        <v>225</v>
      </c>
      <c r="D122" s="8">
        <v>3.17</v>
      </c>
      <c r="E122" s="4">
        <v>12</v>
      </c>
      <c r="F122" s="8">
        <v>0.42</v>
      </c>
      <c r="G122" s="4">
        <v>213</v>
      </c>
      <c r="H122" s="8">
        <v>5.0599999999999996</v>
      </c>
      <c r="I122" s="4">
        <v>0</v>
      </c>
    </row>
    <row r="123" spans="1:9" x14ac:dyDescent="0.15">
      <c r="A123" s="2">
        <v>11</v>
      </c>
      <c r="B123" s="1" t="s">
        <v>85</v>
      </c>
      <c r="C123" s="4">
        <v>183</v>
      </c>
      <c r="D123" s="8">
        <v>2.58</v>
      </c>
      <c r="E123" s="4">
        <v>13</v>
      </c>
      <c r="F123" s="8">
        <v>0.46</v>
      </c>
      <c r="G123" s="4">
        <v>170</v>
      </c>
      <c r="H123" s="8">
        <v>4.04</v>
      </c>
      <c r="I123" s="4">
        <v>0</v>
      </c>
    </row>
    <row r="124" spans="1:9" x14ac:dyDescent="0.15">
      <c r="A124" s="2">
        <v>12</v>
      </c>
      <c r="B124" s="1" t="s">
        <v>86</v>
      </c>
      <c r="C124" s="4">
        <v>159</v>
      </c>
      <c r="D124" s="8">
        <v>2.2400000000000002</v>
      </c>
      <c r="E124" s="4">
        <v>28</v>
      </c>
      <c r="F124" s="8">
        <v>0.98</v>
      </c>
      <c r="G124" s="4">
        <v>131</v>
      </c>
      <c r="H124" s="8">
        <v>3.11</v>
      </c>
      <c r="I124" s="4">
        <v>0</v>
      </c>
    </row>
    <row r="125" spans="1:9" x14ac:dyDescent="0.15">
      <c r="A125" s="2">
        <v>13</v>
      </c>
      <c r="B125" s="1" t="s">
        <v>104</v>
      </c>
      <c r="C125" s="4">
        <v>157</v>
      </c>
      <c r="D125" s="8">
        <v>2.21</v>
      </c>
      <c r="E125" s="4">
        <v>7</v>
      </c>
      <c r="F125" s="8">
        <v>0.25</v>
      </c>
      <c r="G125" s="4">
        <v>143</v>
      </c>
      <c r="H125" s="8">
        <v>3.4</v>
      </c>
      <c r="I125" s="4">
        <v>7</v>
      </c>
    </row>
    <row r="126" spans="1:9" x14ac:dyDescent="0.15">
      <c r="A126" s="2">
        <v>14</v>
      </c>
      <c r="B126" s="1" t="s">
        <v>90</v>
      </c>
      <c r="C126" s="4">
        <v>142</v>
      </c>
      <c r="D126" s="8">
        <v>2</v>
      </c>
      <c r="E126" s="4">
        <v>1</v>
      </c>
      <c r="F126" s="8">
        <v>0.04</v>
      </c>
      <c r="G126" s="4">
        <v>141</v>
      </c>
      <c r="H126" s="8">
        <v>3.35</v>
      </c>
      <c r="I126" s="4">
        <v>0</v>
      </c>
    </row>
    <row r="127" spans="1:9" x14ac:dyDescent="0.15">
      <c r="A127" s="2">
        <v>15</v>
      </c>
      <c r="B127" s="1" t="s">
        <v>102</v>
      </c>
      <c r="C127" s="4">
        <v>136</v>
      </c>
      <c r="D127" s="8">
        <v>1.92</v>
      </c>
      <c r="E127" s="4">
        <v>70</v>
      </c>
      <c r="F127" s="8">
        <v>2.4500000000000002</v>
      </c>
      <c r="G127" s="4">
        <v>64</v>
      </c>
      <c r="H127" s="8">
        <v>1.52</v>
      </c>
      <c r="I127" s="4">
        <v>2</v>
      </c>
    </row>
    <row r="128" spans="1:9" x14ac:dyDescent="0.15">
      <c r="A128" s="2">
        <v>16</v>
      </c>
      <c r="B128" s="1" t="s">
        <v>110</v>
      </c>
      <c r="C128" s="4">
        <v>126</v>
      </c>
      <c r="D128" s="8">
        <v>1.78</v>
      </c>
      <c r="E128" s="4">
        <v>0</v>
      </c>
      <c r="F128" s="8">
        <v>0</v>
      </c>
      <c r="G128" s="4">
        <v>124</v>
      </c>
      <c r="H128" s="8">
        <v>2.94</v>
      </c>
      <c r="I128" s="4">
        <v>2</v>
      </c>
    </row>
    <row r="129" spans="1:9" x14ac:dyDescent="0.15">
      <c r="A129" s="2">
        <v>17</v>
      </c>
      <c r="B129" s="1" t="s">
        <v>87</v>
      </c>
      <c r="C129" s="4">
        <v>113</v>
      </c>
      <c r="D129" s="8">
        <v>1.59</v>
      </c>
      <c r="E129" s="4">
        <v>7</v>
      </c>
      <c r="F129" s="8">
        <v>0.25</v>
      </c>
      <c r="G129" s="4">
        <v>106</v>
      </c>
      <c r="H129" s="8">
        <v>2.52</v>
      </c>
      <c r="I129" s="4">
        <v>0</v>
      </c>
    </row>
    <row r="130" spans="1:9" x14ac:dyDescent="0.15">
      <c r="A130" s="2">
        <v>18</v>
      </c>
      <c r="B130" s="1" t="s">
        <v>105</v>
      </c>
      <c r="C130" s="4">
        <v>104</v>
      </c>
      <c r="D130" s="8">
        <v>1.47</v>
      </c>
      <c r="E130" s="4">
        <v>9</v>
      </c>
      <c r="F130" s="8">
        <v>0.32</v>
      </c>
      <c r="G130" s="4">
        <v>95</v>
      </c>
      <c r="H130" s="8">
        <v>2.2599999999999998</v>
      </c>
      <c r="I130" s="4">
        <v>0</v>
      </c>
    </row>
    <row r="131" spans="1:9" x14ac:dyDescent="0.15">
      <c r="A131" s="2">
        <v>19</v>
      </c>
      <c r="B131" s="1" t="s">
        <v>101</v>
      </c>
      <c r="C131" s="4">
        <v>87</v>
      </c>
      <c r="D131" s="8">
        <v>1.23</v>
      </c>
      <c r="E131" s="4">
        <v>21</v>
      </c>
      <c r="F131" s="8">
        <v>0.74</v>
      </c>
      <c r="G131" s="4">
        <v>66</v>
      </c>
      <c r="H131" s="8">
        <v>1.57</v>
      </c>
      <c r="I131" s="4">
        <v>0</v>
      </c>
    </row>
    <row r="132" spans="1:9" x14ac:dyDescent="0.15">
      <c r="A132" s="2">
        <v>20</v>
      </c>
      <c r="B132" s="1" t="s">
        <v>111</v>
      </c>
      <c r="C132" s="4">
        <v>79</v>
      </c>
      <c r="D132" s="8">
        <v>1.1100000000000001</v>
      </c>
      <c r="E132" s="4">
        <v>28</v>
      </c>
      <c r="F132" s="8">
        <v>0.98</v>
      </c>
      <c r="G132" s="4">
        <v>51</v>
      </c>
      <c r="H132" s="8">
        <v>1.21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99</v>
      </c>
      <c r="C135" s="4">
        <v>493</v>
      </c>
      <c r="D135" s="8">
        <v>14.17</v>
      </c>
      <c r="E135" s="4">
        <v>401</v>
      </c>
      <c r="F135" s="8">
        <v>24</v>
      </c>
      <c r="G135" s="4">
        <v>92</v>
      </c>
      <c r="H135" s="8">
        <v>5.09</v>
      </c>
      <c r="I135" s="4">
        <v>0</v>
      </c>
    </row>
    <row r="136" spans="1:9" x14ac:dyDescent="0.15">
      <c r="A136" s="2">
        <v>2</v>
      </c>
      <c r="B136" s="1" t="s">
        <v>100</v>
      </c>
      <c r="C136" s="4">
        <v>371</v>
      </c>
      <c r="D136" s="8">
        <v>10.66</v>
      </c>
      <c r="E136" s="4">
        <v>297</v>
      </c>
      <c r="F136" s="8">
        <v>17.77</v>
      </c>
      <c r="G136" s="4">
        <v>74</v>
      </c>
      <c r="H136" s="8">
        <v>4.09</v>
      </c>
      <c r="I136" s="4">
        <v>0</v>
      </c>
    </row>
    <row r="137" spans="1:9" x14ac:dyDescent="0.15">
      <c r="A137" s="2">
        <v>3</v>
      </c>
      <c r="B137" s="1" t="s">
        <v>96</v>
      </c>
      <c r="C137" s="4">
        <v>365</v>
      </c>
      <c r="D137" s="8">
        <v>10.49</v>
      </c>
      <c r="E137" s="4">
        <v>215</v>
      </c>
      <c r="F137" s="8">
        <v>12.87</v>
      </c>
      <c r="G137" s="4">
        <v>150</v>
      </c>
      <c r="H137" s="8">
        <v>8.3000000000000007</v>
      </c>
      <c r="I137" s="4">
        <v>0</v>
      </c>
    </row>
    <row r="138" spans="1:9" x14ac:dyDescent="0.15">
      <c r="A138" s="2">
        <v>4</v>
      </c>
      <c r="B138" s="1" t="s">
        <v>94</v>
      </c>
      <c r="C138" s="4">
        <v>233</v>
      </c>
      <c r="D138" s="8">
        <v>6.7</v>
      </c>
      <c r="E138" s="4">
        <v>120</v>
      </c>
      <c r="F138" s="8">
        <v>7.18</v>
      </c>
      <c r="G138" s="4">
        <v>113</v>
      </c>
      <c r="H138" s="8">
        <v>6.25</v>
      </c>
      <c r="I138" s="4">
        <v>0</v>
      </c>
    </row>
    <row r="139" spans="1:9" x14ac:dyDescent="0.15">
      <c r="A139" s="2">
        <v>5</v>
      </c>
      <c r="B139" s="1" t="s">
        <v>92</v>
      </c>
      <c r="C139" s="4">
        <v>200</v>
      </c>
      <c r="D139" s="8">
        <v>5.75</v>
      </c>
      <c r="E139" s="4">
        <v>98</v>
      </c>
      <c r="F139" s="8">
        <v>5.86</v>
      </c>
      <c r="G139" s="4">
        <v>102</v>
      </c>
      <c r="H139" s="8">
        <v>5.64</v>
      </c>
      <c r="I139" s="4">
        <v>0</v>
      </c>
    </row>
    <row r="140" spans="1:9" x14ac:dyDescent="0.15">
      <c r="A140" s="2">
        <v>6</v>
      </c>
      <c r="B140" s="1" t="s">
        <v>86</v>
      </c>
      <c r="C140" s="4">
        <v>185</v>
      </c>
      <c r="D140" s="8">
        <v>5.32</v>
      </c>
      <c r="E140" s="4">
        <v>31</v>
      </c>
      <c r="F140" s="8">
        <v>1.86</v>
      </c>
      <c r="G140" s="4">
        <v>154</v>
      </c>
      <c r="H140" s="8">
        <v>8.52</v>
      </c>
      <c r="I140" s="4">
        <v>0</v>
      </c>
    </row>
    <row r="141" spans="1:9" x14ac:dyDescent="0.15">
      <c r="A141" s="2">
        <v>7</v>
      </c>
      <c r="B141" s="1" t="s">
        <v>85</v>
      </c>
      <c r="C141" s="4">
        <v>150</v>
      </c>
      <c r="D141" s="8">
        <v>4.3099999999999996</v>
      </c>
      <c r="E141" s="4">
        <v>22</v>
      </c>
      <c r="F141" s="8">
        <v>1.32</v>
      </c>
      <c r="G141" s="4">
        <v>128</v>
      </c>
      <c r="H141" s="8">
        <v>7.08</v>
      </c>
      <c r="I141" s="4">
        <v>0</v>
      </c>
    </row>
    <row r="142" spans="1:9" x14ac:dyDescent="0.15">
      <c r="A142" s="2">
        <v>8</v>
      </c>
      <c r="B142" s="1" t="s">
        <v>87</v>
      </c>
      <c r="C142" s="4">
        <v>130</v>
      </c>
      <c r="D142" s="8">
        <v>3.74</v>
      </c>
      <c r="E142" s="4">
        <v>4</v>
      </c>
      <c r="F142" s="8">
        <v>0.24</v>
      </c>
      <c r="G142" s="4">
        <v>126</v>
      </c>
      <c r="H142" s="8">
        <v>6.97</v>
      </c>
      <c r="I142" s="4">
        <v>0</v>
      </c>
    </row>
    <row r="143" spans="1:9" x14ac:dyDescent="0.15">
      <c r="A143" s="2">
        <v>9</v>
      </c>
      <c r="B143" s="1" t="s">
        <v>103</v>
      </c>
      <c r="C143" s="4">
        <v>128</v>
      </c>
      <c r="D143" s="8">
        <v>3.68</v>
      </c>
      <c r="E143" s="4">
        <v>107</v>
      </c>
      <c r="F143" s="8">
        <v>6.4</v>
      </c>
      <c r="G143" s="4">
        <v>21</v>
      </c>
      <c r="H143" s="8">
        <v>1.1599999999999999</v>
      </c>
      <c r="I143" s="4">
        <v>0</v>
      </c>
    </row>
    <row r="144" spans="1:9" x14ac:dyDescent="0.15">
      <c r="A144" s="2">
        <v>10</v>
      </c>
      <c r="B144" s="1" t="s">
        <v>91</v>
      </c>
      <c r="C144" s="4">
        <v>92</v>
      </c>
      <c r="D144" s="8">
        <v>2.64</v>
      </c>
      <c r="E144" s="4">
        <v>46</v>
      </c>
      <c r="F144" s="8">
        <v>2.75</v>
      </c>
      <c r="G144" s="4">
        <v>46</v>
      </c>
      <c r="H144" s="8">
        <v>2.54</v>
      </c>
      <c r="I144" s="4">
        <v>0</v>
      </c>
    </row>
    <row r="145" spans="1:9" x14ac:dyDescent="0.15">
      <c r="A145" s="2">
        <v>11</v>
      </c>
      <c r="B145" s="1" t="s">
        <v>102</v>
      </c>
      <c r="C145" s="4">
        <v>91</v>
      </c>
      <c r="D145" s="8">
        <v>2.62</v>
      </c>
      <c r="E145" s="4">
        <v>66</v>
      </c>
      <c r="F145" s="8">
        <v>3.95</v>
      </c>
      <c r="G145" s="4">
        <v>25</v>
      </c>
      <c r="H145" s="8">
        <v>1.38</v>
      </c>
      <c r="I145" s="4">
        <v>0</v>
      </c>
    </row>
    <row r="146" spans="1:9" x14ac:dyDescent="0.15">
      <c r="A146" s="2">
        <v>12</v>
      </c>
      <c r="B146" s="1" t="s">
        <v>93</v>
      </c>
      <c r="C146" s="4">
        <v>86</v>
      </c>
      <c r="D146" s="8">
        <v>2.4700000000000002</v>
      </c>
      <c r="E146" s="4">
        <v>34</v>
      </c>
      <c r="F146" s="8">
        <v>2.0299999999999998</v>
      </c>
      <c r="G146" s="4">
        <v>52</v>
      </c>
      <c r="H146" s="8">
        <v>2.88</v>
      </c>
      <c r="I146" s="4">
        <v>0</v>
      </c>
    </row>
    <row r="147" spans="1:9" x14ac:dyDescent="0.15">
      <c r="A147" s="2">
        <v>13</v>
      </c>
      <c r="B147" s="1" t="s">
        <v>95</v>
      </c>
      <c r="C147" s="4">
        <v>82</v>
      </c>
      <c r="D147" s="8">
        <v>2.36</v>
      </c>
      <c r="E147" s="4">
        <v>7</v>
      </c>
      <c r="F147" s="8">
        <v>0.42</v>
      </c>
      <c r="G147" s="4">
        <v>75</v>
      </c>
      <c r="H147" s="8">
        <v>4.1500000000000004</v>
      </c>
      <c r="I147" s="4">
        <v>0</v>
      </c>
    </row>
    <row r="148" spans="1:9" x14ac:dyDescent="0.15">
      <c r="A148" s="2">
        <v>14</v>
      </c>
      <c r="B148" s="1" t="s">
        <v>112</v>
      </c>
      <c r="C148" s="4">
        <v>80</v>
      </c>
      <c r="D148" s="8">
        <v>2.2999999999999998</v>
      </c>
      <c r="E148" s="4">
        <v>12</v>
      </c>
      <c r="F148" s="8">
        <v>0.72</v>
      </c>
      <c r="G148" s="4">
        <v>68</v>
      </c>
      <c r="H148" s="8">
        <v>3.76</v>
      </c>
      <c r="I148" s="4">
        <v>0</v>
      </c>
    </row>
    <row r="149" spans="1:9" x14ac:dyDescent="0.15">
      <c r="A149" s="2">
        <v>15</v>
      </c>
      <c r="B149" s="1" t="s">
        <v>97</v>
      </c>
      <c r="C149" s="4">
        <v>75</v>
      </c>
      <c r="D149" s="8">
        <v>2.16</v>
      </c>
      <c r="E149" s="4">
        <v>38</v>
      </c>
      <c r="F149" s="8">
        <v>2.27</v>
      </c>
      <c r="G149" s="4">
        <v>37</v>
      </c>
      <c r="H149" s="8">
        <v>2.0499999999999998</v>
      </c>
      <c r="I149" s="4">
        <v>0</v>
      </c>
    </row>
    <row r="150" spans="1:9" x14ac:dyDescent="0.15">
      <c r="A150" s="2">
        <v>16</v>
      </c>
      <c r="B150" s="1" t="s">
        <v>98</v>
      </c>
      <c r="C150" s="4">
        <v>61</v>
      </c>
      <c r="D150" s="8">
        <v>1.75</v>
      </c>
      <c r="E150" s="4">
        <v>18</v>
      </c>
      <c r="F150" s="8">
        <v>1.08</v>
      </c>
      <c r="G150" s="4">
        <v>43</v>
      </c>
      <c r="H150" s="8">
        <v>2.38</v>
      </c>
      <c r="I150" s="4">
        <v>0</v>
      </c>
    </row>
    <row r="151" spans="1:9" x14ac:dyDescent="0.15">
      <c r="A151" s="2">
        <v>17</v>
      </c>
      <c r="B151" s="1" t="s">
        <v>106</v>
      </c>
      <c r="C151" s="4">
        <v>56</v>
      </c>
      <c r="D151" s="8">
        <v>1.61</v>
      </c>
      <c r="E151" s="4">
        <v>7</v>
      </c>
      <c r="F151" s="8">
        <v>0.42</v>
      </c>
      <c r="G151" s="4">
        <v>49</v>
      </c>
      <c r="H151" s="8">
        <v>2.71</v>
      </c>
      <c r="I151" s="4">
        <v>0</v>
      </c>
    </row>
    <row r="152" spans="1:9" x14ac:dyDescent="0.15">
      <c r="A152" s="2">
        <v>18</v>
      </c>
      <c r="B152" s="1" t="s">
        <v>105</v>
      </c>
      <c r="C152" s="4">
        <v>53</v>
      </c>
      <c r="D152" s="8">
        <v>1.52</v>
      </c>
      <c r="E152" s="4">
        <v>12</v>
      </c>
      <c r="F152" s="8">
        <v>0.72</v>
      </c>
      <c r="G152" s="4">
        <v>41</v>
      </c>
      <c r="H152" s="8">
        <v>2.27</v>
      </c>
      <c r="I152" s="4">
        <v>0</v>
      </c>
    </row>
    <row r="153" spans="1:9" x14ac:dyDescent="0.15">
      <c r="A153" s="2">
        <v>19</v>
      </c>
      <c r="B153" s="1" t="s">
        <v>101</v>
      </c>
      <c r="C153" s="4">
        <v>45</v>
      </c>
      <c r="D153" s="8">
        <v>1.29</v>
      </c>
      <c r="E153" s="4">
        <v>17</v>
      </c>
      <c r="F153" s="8">
        <v>1.02</v>
      </c>
      <c r="G153" s="4">
        <v>28</v>
      </c>
      <c r="H153" s="8">
        <v>1.55</v>
      </c>
      <c r="I153" s="4">
        <v>0</v>
      </c>
    </row>
    <row r="154" spans="1:9" x14ac:dyDescent="0.15">
      <c r="A154" s="2">
        <v>20</v>
      </c>
      <c r="B154" s="1" t="s">
        <v>104</v>
      </c>
      <c r="C154" s="4">
        <v>42</v>
      </c>
      <c r="D154" s="8">
        <v>1.21</v>
      </c>
      <c r="E154" s="4">
        <v>6</v>
      </c>
      <c r="F154" s="8">
        <v>0.36</v>
      </c>
      <c r="G154" s="4">
        <v>36</v>
      </c>
      <c r="H154" s="8">
        <v>1.99</v>
      </c>
      <c r="I154" s="4">
        <v>0</v>
      </c>
    </row>
    <row r="155" spans="1:9" x14ac:dyDescent="0.15">
      <c r="A155" s="1"/>
      <c r="C155" s="4"/>
      <c r="D155" s="8"/>
      <c r="E155" s="4"/>
      <c r="F155" s="8"/>
      <c r="G155" s="4"/>
      <c r="H155" s="8"/>
      <c r="I155" s="4"/>
    </row>
    <row r="156" spans="1:9" x14ac:dyDescent="0.15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15">
      <c r="A157" s="2">
        <v>1</v>
      </c>
      <c r="B157" s="1" t="s">
        <v>99</v>
      </c>
      <c r="C157" s="4">
        <v>318</v>
      </c>
      <c r="D157" s="8">
        <v>11.01</v>
      </c>
      <c r="E157" s="4">
        <v>262</v>
      </c>
      <c r="F157" s="8">
        <v>19.11</v>
      </c>
      <c r="G157" s="4">
        <v>56</v>
      </c>
      <c r="H157" s="8">
        <v>3.69</v>
      </c>
      <c r="I157" s="4">
        <v>0</v>
      </c>
    </row>
    <row r="158" spans="1:9" x14ac:dyDescent="0.15">
      <c r="A158" s="2">
        <v>2</v>
      </c>
      <c r="B158" s="1" t="s">
        <v>96</v>
      </c>
      <c r="C158" s="4">
        <v>308</v>
      </c>
      <c r="D158" s="8">
        <v>10.66</v>
      </c>
      <c r="E158" s="4">
        <v>199</v>
      </c>
      <c r="F158" s="8">
        <v>14.51</v>
      </c>
      <c r="G158" s="4">
        <v>109</v>
      </c>
      <c r="H158" s="8">
        <v>7.18</v>
      </c>
      <c r="I158" s="4">
        <v>0</v>
      </c>
    </row>
    <row r="159" spans="1:9" x14ac:dyDescent="0.15">
      <c r="A159" s="2">
        <v>3</v>
      </c>
      <c r="B159" s="1" t="s">
        <v>100</v>
      </c>
      <c r="C159" s="4">
        <v>295</v>
      </c>
      <c r="D159" s="8">
        <v>10.210000000000001</v>
      </c>
      <c r="E159" s="4">
        <v>241</v>
      </c>
      <c r="F159" s="8">
        <v>17.579999999999998</v>
      </c>
      <c r="G159" s="4">
        <v>54</v>
      </c>
      <c r="H159" s="8">
        <v>3.56</v>
      </c>
      <c r="I159" s="4">
        <v>0</v>
      </c>
    </row>
    <row r="160" spans="1:9" x14ac:dyDescent="0.15">
      <c r="A160" s="2">
        <v>4</v>
      </c>
      <c r="B160" s="1" t="s">
        <v>92</v>
      </c>
      <c r="C160" s="4">
        <v>191</v>
      </c>
      <c r="D160" s="8">
        <v>6.61</v>
      </c>
      <c r="E160" s="4">
        <v>109</v>
      </c>
      <c r="F160" s="8">
        <v>7.95</v>
      </c>
      <c r="G160" s="4">
        <v>82</v>
      </c>
      <c r="H160" s="8">
        <v>5.4</v>
      </c>
      <c r="I160" s="4">
        <v>0</v>
      </c>
    </row>
    <row r="161" spans="1:9" x14ac:dyDescent="0.15">
      <c r="A161" s="2">
        <v>5</v>
      </c>
      <c r="B161" s="1" t="s">
        <v>94</v>
      </c>
      <c r="C161" s="4">
        <v>164</v>
      </c>
      <c r="D161" s="8">
        <v>5.68</v>
      </c>
      <c r="E161" s="4">
        <v>76</v>
      </c>
      <c r="F161" s="8">
        <v>5.54</v>
      </c>
      <c r="G161" s="4">
        <v>88</v>
      </c>
      <c r="H161" s="8">
        <v>5.8</v>
      </c>
      <c r="I161" s="4">
        <v>0</v>
      </c>
    </row>
    <row r="162" spans="1:9" x14ac:dyDescent="0.15">
      <c r="A162" s="2">
        <v>6</v>
      </c>
      <c r="B162" s="1" t="s">
        <v>85</v>
      </c>
      <c r="C162" s="4">
        <v>155</v>
      </c>
      <c r="D162" s="8">
        <v>5.37</v>
      </c>
      <c r="E162" s="4">
        <v>19</v>
      </c>
      <c r="F162" s="8">
        <v>1.39</v>
      </c>
      <c r="G162" s="4">
        <v>136</v>
      </c>
      <c r="H162" s="8">
        <v>8.9600000000000009</v>
      </c>
      <c r="I162" s="4">
        <v>0</v>
      </c>
    </row>
    <row r="163" spans="1:9" x14ac:dyDescent="0.15">
      <c r="A163" s="2">
        <v>7</v>
      </c>
      <c r="B163" s="1" t="s">
        <v>86</v>
      </c>
      <c r="C163" s="4">
        <v>150</v>
      </c>
      <c r="D163" s="8">
        <v>5.19</v>
      </c>
      <c r="E163" s="4">
        <v>31</v>
      </c>
      <c r="F163" s="8">
        <v>2.2599999999999998</v>
      </c>
      <c r="G163" s="4">
        <v>119</v>
      </c>
      <c r="H163" s="8">
        <v>7.84</v>
      </c>
      <c r="I163" s="4">
        <v>0</v>
      </c>
    </row>
    <row r="164" spans="1:9" x14ac:dyDescent="0.15">
      <c r="A164" s="2">
        <v>8</v>
      </c>
      <c r="B164" s="1" t="s">
        <v>87</v>
      </c>
      <c r="C164" s="4">
        <v>136</v>
      </c>
      <c r="D164" s="8">
        <v>4.71</v>
      </c>
      <c r="E164" s="4">
        <v>14</v>
      </c>
      <c r="F164" s="8">
        <v>1.02</v>
      </c>
      <c r="G164" s="4">
        <v>122</v>
      </c>
      <c r="H164" s="8">
        <v>8.0399999999999991</v>
      </c>
      <c r="I164" s="4">
        <v>0</v>
      </c>
    </row>
    <row r="165" spans="1:9" x14ac:dyDescent="0.15">
      <c r="A165" s="2">
        <v>9</v>
      </c>
      <c r="B165" s="1" t="s">
        <v>103</v>
      </c>
      <c r="C165" s="4">
        <v>126</v>
      </c>
      <c r="D165" s="8">
        <v>4.3600000000000003</v>
      </c>
      <c r="E165" s="4">
        <v>104</v>
      </c>
      <c r="F165" s="8">
        <v>7.59</v>
      </c>
      <c r="G165" s="4">
        <v>22</v>
      </c>
      <c r="H165" s="8">
        <v>1.45</v>
      </c>
      <c r="I165" s="4">
        <v>0</v>
      </c>
    </row>
    <row r="166" spans="1:9" x14ac:dyDescent="0.15">
      <c r="A166" s="2">
        <v>10</v>
      </c>
      <c r="B166" s="1" t="s">
        <v>102</v>
      </c>
      <c r="C166" s="4">
        <v>98</v>
      </c>
      <c r="D166" s="8">
        <v>3.39</v>
      </c>
      <c r="E166" s="4">
        <v>66</v>
      </c>
      <c r="F166" s="8">
        <v>4.8099999999999996</v>
      </c>
      <c r="G166" s="4">
        <v>32</v>
      </c>
      <c r="H166" s="8">
        <v>2.11</v>
      </c>
      <c r="I166" s="4">
        <v>0</v>
      </c>
    </row>
    <row r="167" spans="1:9" x14ac:dyDescent="0.15">
      <c r="A167" s="2">
        <v>11</v>
      </c>
      <c r="B167" s="1" t="s">
        <v>95</v>
      </c>
      <c r="C167" s="4">
        <v>78</v>
      </c>
      <c r="D167" s="8">
        <v>2.7</v>
      </c>
      <c r="E167" s="4">
        <v>4</v>
      </c>
      <c r="F167" s="8">
        <v>0.28999999999999998</v>
      </c>
      <c r="G167" s="4">
        <v>74</v>
      </c>
      <c r="H167" s="8">
        <v>4.87</v>
      </c>
      <c r="I167" s="4">
        <v>0</v>
      </c>
    </row>
    <row r="168" spans="1:9" x14ac:dyDescent="0.15">
      <c r="A168" s="2">
        <v>12</v>
      </c>
      <c r="B168" s="1" t="s">
        <v>91</v>
      </c>
      <c r="C168" s="4">
        <v>69</v>
      </c>
      <c r="D168" s="8">
        <v>2.39</v>
      </c>
      <c r="E168" s="4">
        <v>44</v>
      </c>
      <c r="F168" s="8">
        <v>3.21</v>
      </c>
      <c r="G168" s="4">
        <v>25</v>
      </c>
      <c r="H168" s="8">
        <v>1.65</v>
      </c>
      <c r="I168" s="4">
        <v>0</v>
      </c>
    </row>
    <row r="169" spans="1:9" x14ac:dyDescent="0.15">
      <c r="A169" s="2">
        <v>12</v>
      </c>
      <c r="B169" s="1" t="s">
        <v>98</v>
      </c>
      <c r="C169" s="4">
        <v>69</v>
      </c>
      <c r="D169" s="8">
        <v>2.39</v>
      </c>
      <c r="E169" s="4">
        <v>13</v>
      </c>
      <c r="F169" s="8">
        <v>0.95</v>
      </c>
      <c r="G169" s="4">
        <v>56</v>
      </c>
      <c r="H169" s="8">
        <v>3.69</v>
      </c>
      <c r="I169" s="4">
        <v>0</v>
      </c>
    </row>
    <row r="170" spans="1:9" x14ac:dyDescent="0.15">
      <c r="A170" s="2">
        <v>14</v>
      </c>
      <c r="B170" s="1" t="s">
        <v>93</v>
      </c>
      <c r="C170" s="4">
        <v>68</v>
      </c>
      <c r="D170" s="8">
        <v>2.35</v>
      </c>
      <c r="E170" s="4">
        <v>24</v>
      </c>
      <c r="F170" s="8">
        <v>1.75</v>
      </c>
      <c r="G170" s="4">
        <v>44</v>
      </c>
      <c r="H170" s="8">
        <v>2.9</v>
      </c>
      <c r="I170" s="4">
        <v>0</v>
      </c>
    </row>
    <row r="171" spans="1:9" x14ac:dyDescent="0.15">
      <c r="A171" s="2">
        <v>15</v>
      </c>
      <c r="B171" s="1" t="s">
        <v>97</v>
      </c>
      <c r="C171" s="4">
        <v>67</v>
      </c>
      <c r="D171" s="8">
        <v>2.3199999999999998</v>
      </c>
      <c r="E171" s="4">
        <v>38</v>
      </c>
      <c r="F171" s="8">
        <v>2.77</v>
      </c>
      <c r="G171" s="4">
        <v>29</v>
      </c>
      <c r="H171" s="8">
        <v>1.91</v>
      </c>
      <c r="I171" s="4">
        <v>0</v>
      </c>
    </row>
    <row r="172" spans="1:9" x14ac:dyDescent="0.15">
      <c r="A172" s="2">
        <v>16</v>
      </c>
      <c r="B172" s="1" t="s">
        <v>101</v>
      </c>
      <c r="C172" s="4">
        <v>46</v>
      </c>
      <c r="D172" s="8">
        <v>1.59</v>
      </c>
      <c r="E172" s="4">
        <v>21</v>
      </c>
      <c r="F172" s="8">
        <v>1.53</v>
      </c>
      <c r="G172" s="4">
        <v>25</v>
      </c>
      <c r="H172" s="8">
        <v>1.65</v>
      </c>
      <c r="I172" s="4">
        <v>0</v>
      </c>
    </row>
    <row r="173" spans="1:9" x14ac:dyDescent="0.15">
      <c r="A173" s="2">
        <v>17</v>
      </c>
      <c r="B173" s="1" t="s">
        <v>105</v>
      </c>
      <c r="C173" s="4">
        <v>36</v>
      </c>
      <c r="D173" s="8">
        <v>1.25</v>
      </c>
      <c r="E173" s="4">
        <v>8</v>
      </c>
      <c r="F173" s="8">
        <v>0.57999999999999996</v>
      </c>
      <c r="G173" s="4">
        <v>28</v>
      </c>
      <c r="H173" s="8">
        <v>1.84</v>
      </c>
      <c r="I173" s="4">
        <v>0</v>
      </c>
    </row>
    <row r="174" spans="1:9" x14ac:dyDescent="0.15">
      <c r="A174" s="2">
        <v>17</v>
      </c>
      <c r="B174" s="1" t="s">
        <v>108</v>
      </c>
      <c r="C174" s="4">
        <v>36</v>
      </c>
      <c r="D174" s="8">
        <v>1.25</v>
      </c>
      <c r="E174" s="4">
        <v>0</v>
      </c>
      <c r="F174" s="8">
        <v>0</v>
      </c>
      <c r="G174" s="4">
        <v>36</v>
      </c>
      <c r="H174" s="8">
        <v>2.37</v>
      </c>
      <c r="I174" s="4">
        <v>0</v>
      </c>
    </row>
    <row r="175" spans="1:9" x14ac:dyDescent="0.15">
      <c r="A175" s="2">
        <v>19</v>
      </c>
      <c r="B175" s="1" t="s">
        <v>90</v>
      </c>
      <c r="C175" s="4">
        <v>34</v>
      </c>
      <c r="D175" s="8">
        <v>1.18</v>
      </c>
      <c r="E175" s="4">
        <v>1</v>
      </c>
      <c r="F175" s="8">
        <v>7.0000000000000007E-2</v>
      </c>
      <c r="G175" s="4">
        <v>33</v>
      </c>
      <c r="H175" s="8">
        <v>2.17</v>
      </c>
      <c r="I175" s="4">
        <v>0</v>
      </c>
    </row>
    <row r="176" spans="1:9" x14ac:dyDescent="0.15">
      <c r="A176" s="2">
        <v>20</v>
      </c>
      <c r="B176" s="1" t="s">
        <v>113</v>
      </c>
      <c r="C176" s="4">
        <v>27</v>
      </c>
      <c r="D176" s="8">
        <v>0.93</v>
      </c>
      <c r="E176" s="4">
        <v>8</v>
      </c>
      <c r="F176" s="8">
        <v>0.57999999999999996</v>
      </c>
      <c r="G176" s="4">
        <v>19</v>
      </c>
      <c r="H176" s="8">
        <v>1.25</v>
      </c>
      <c r="I176" s="4">
        <v>0</v>
      </c>
    </row>
    <row r="177" spans="1:9" x14ac:dyDescent="0.15">
      <c r="A177" s="1"/>
      <c r="C177" s="4"/>
      <c r="D177" s="8"/>
      <c r="E177" s="4"/>
      <c r="F177" s="8"/>
      <c r="G177" s="4"/>
      <c r="H177" s="8"/>
      <c r="I177" s="4"/>
    </row>
    <row r="178" spans="1:9" x14ac:dyDescent="0.15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15">
      <c r="A179" s="2">
        <v>1</v>
      </c>
      <c r="B179" s="1" t="s">
        <v>99</v>
      </c>
      <c r="C179" s="4">
        <v>285</v>
      </c>
      <c r="D179" s="8">
        <v>12.56</v>
      </c>
      <c r="E179" s="4">
        <v>234</v>
      </c>
      <c r="F179" s="8">
        <v>23.95</v>
      </c>
      <c r="G179" s="4">
        <v>50</v>
      </c>
      <c r="H179" s="8">
        <v>3.89</v>
      </c>
      <c r="I179" s="4">
        <v>1</v>
      </c>
    </row>
    <row r="180" spans="1:9" x14ac:dyDescent="0.15">
      <c r="A180" s="2">
        <v>2</v>
      </c>
      <c r="B180" s="1" t="s">
        <v>96</v>
      </c>
      <c r="C180" s="4">
        <v>259</v>
      </c>
      <c r="D180" s="8">
        <v>11.41</v>
      </c>
      <c r="E180" s="4">
        <v>110</v>
      </c>
      <c r="F180" s="8">
        <v>11.26</v>
      </c>
      <c r="G180" s="4">
        <v>148</v>
      </c>
      <c r="H180" s="8">
        <v>11.5</v>
      </c>
      <c r="I180" s="4">
        <v>1</v>
      </c>
    </row>
    <row r="181" spans="1:9" x14ac:dyDescent="0.15">
      <c r="A181" s="2">
        <v>3</v>
      </c>
      <c r="B181" s="1" t="s">
        <v>100</v>
      </c>
      <c r="C181" s="4">
        <v>237</v>
      </c>
      <c r="D181" s="8">
        <v>10.45</v>
      </c>
      <c r="E181" s="4">
        <v>170</v>
      </c>
      <c r="F181" s="8">
        <v>17.399999999999999</v>
      </c>
      <c r="G181" s="4">
        <v>67</v>
      </c>
      <c r="H181" s="8">
        <v>5.21</v>
      </c>
      <c r="I181" s="4">
        <v>0</v>
      </c>
    </row>
    <row r="182" spans="1:9" x14ac:dyDescent="0.15">
      <c r="A182" s="2">
        <v>4</v>
      </c>
      <c r="B182" s="1" t="s">
        <v>94</v>
      </c>
      <c r="C182" s="4">
        <v>132</v>
      </c>
      <c r="D182" s="8">
        <v>5.82</v>
      </c>
      <c r="E182" s="4">
        <v>64</v>
      </c>
      <c r="F182" s="8">
        <v>6.55</v>
      </c>
      <c r="G182" s="4">
        <v>68</v>
      </c>
      <c r="H182" s="8">
        <v>5.28</v>
      </c>
      <c r="I182" s="4">
        <v>0</v>
      </c>
    </row>
    <row r="183" spans="1:9" x14ac:dyDescent="0.15">
      <c r="A183" s="2">
        <v>5</v>
      </c>
      <c r="B183" s="1" t="s">
        <v>86</v>
      </c>
      <c r="C183" s="4">
        <v>120</v>
      </c>
      <c r="D183" s="8">
        <v>5.29</v>
      </c>
      <c r="E183" s="4">
        <v>18</v>
      </c>
      <c r="F183" s="8">
        <v>1.84</v>
      </c>
      <c r="G183" s="4">
        <v>102</v>
      </c>
      <c r="H183" s="8">
        <v>7.93</v>
      </c>
      <c r="I183" s="4">
        <v>0</v>
      </c>
    </row>
    <row r="184" spans="1:9" x14ac:dyDescent="0.15">
      <c r="A184" s="2">
        <v>5</v>
      </c>
      <c r="B184" s="1" t="s">
        <v>92</v>
      </c>
      <c r="C184" s="4">
        <v>120</v>
      </c>
      <c r="D184" s="8">
        <v>5.29</v>
      </c>
      <c r="E184" s="4">
        <v>57</v>
      </c>
      <c r="F184" s="8">
        <v>5.83</v>
      </c>
      <c r="G184" s="4">
        <v>63</v>
      </c>
      <c r="H184" s="8">
        <v>4.9000000000000004</v>
      </c>
      <c r="I184" s="4">
        <v>0</v>
      </c>
    </row>
    <row r="185" spans="1:9" x14ac:dyDescent="0.15">
      <c r="A185" s="2">
        <v>7</v>
      </c>
      <c r="B185" s="1" t="s">
        <v>85</v>
      </c>
      <c r="C185" s="4">
        <v>117</v>
      </c>
      <c r="D185" s="8">
        <v>5.16</v>
      </c>
      <c r="E185" s="4">
        <v>15</v>
      </c>
      <c r="F185" s="8">
        <v>1.54</v>
      </c>
      <c r="G185" s="4">
        <v>101</v>
      </c>
      <c r="H185" s="8">
        <v>7.85</v>
      </c>
      <c r="I185" s="4">
        <v>1</v>
      </c>
    </row>
    <row r="186" spans="1:9" x14ac:dyDescent="0.15">
      <c r="A186" s="2">
        <v>8</v>
      </c>
      <c r="B186" s="1" t="s">
        <v>87</v>
      </c>
      <c r="C186" s="4">
        <v>99</v>
      </c>
      <c r="D186" s="8">
        <v>4.3600000000000003</v>
      </c>
      <c r="E186" s="4">
        <v>9</v>
      </c>
      <c r="F186" s="8">
        <v>0.92</v>
      </c>
      <c r="G186" s="4">
        <v>90</v>
      </c>
      <c r="H186" s="8">
        <v>6.99</v>
      </c>
      <c r="I186" s="4">
        <v>0</v>
      </c>
    </row>
    <row r="187" spans="1:9" x14ac:dyDescent="0.15">
      <c r="A187" s="2">
        <v>9</v>
      </c>
      <c r="B187" s="1" t="s">
        <v>103</v>
      </c>
      <c r="C187" s="4">
        <v>91</v>
      </c>
      <c r="D187" s="8">
        <v>4.01</v>
      </c>
      <c r="E187" s="4">
        <v>77</v>
      </c>
      <c r="F187" s="8">
        <v>7.88</v>
      </c>
      <c r="G187" s="4">
        <v>14</v>
      </c>
      <c r="H187" s="8">
        <v>1.0900000000000001</v>
      </c>
      <c r="I187" s="4">
        <v>0</v>
      </c>
    </row>
    <row r="188" spans="1:9" x14ac:dyDescent="0.15">
      <c r="A188" s="2">
        <v>10</v>
      </c>
      <c r="B188" s="1" t="s">
        <v>102</v>
      </c>
      <c r="C188" s="4">
        <v>78</v>
      </c>
      <c r="D188" s="8">
        <v>3.44</v>
      </c>
      <c r="E188" s="4">
        <v>61</v>
      </c>
      <c r="F188" s="8">
        <v>6.24</v>
      </c>
      <c r="G188" s="4">
        <v>17</v>
      </c>
      <c r="H188" s="8">
        <v>1.32</v>
      </c>
      <c r="I188" s="4">
        <v>0</v>
      </c>
    </row>
    <row r="189" spans="1:9" x14ac:dyDescent="0.15">
      <c r="A189" s="2">
        <v>11</v>
      </c>
      <c r="B189" s="1" t="s">
        <v>98</v>
      </c>
      <c r="C189" s="4">
        <v>64</v>
      </c>
      <c r="D189" s="8">
        <v>2.82</v>
      </c>
      <c r="E189" s="4">
        <v>15</v>
      </c>
      <c r="F189" s="8">
        <v>1.54</v>
      </c>
      <c r="G189" s="4">
        <v>49</v>
      </c>
      <c r="H189" s="8">
        <v>3.81</v>
      </c>
      <c r="I189" s="4">
        <v>0</v>
      </c>
    </row>
    <row r="190" spans="1:9" x14ac:dyDescent="0.15">
      <c r="A190" s="2">
        <v>12</v>
      </c>
      <c r="B190" s="1" t="s">
        <v>97</v>
      </c>
      <c r="C190" s="4">
        <v>55</v>
      </c>
      <c r="D190" s="8">
        <v>2.42</v>
      </c>
      <c r="E190" s="4">
        <v>28</v>
      </c>
      <c r="F190" s="8">
        <v>2.87</v>
      </c>
      <c r="G190" s="4">
        <v>27</v>
      </c>
      <c r="H190" s="8">
        <v>2.1</v>
      </c>
      <c r="I190" s="4">
        <v>0</v>
      </c>
    </row>
    <row r="191" spans="1:9" x14ac:dyDescent="0.15">
      <c r="A191" s="2">
        <v>13</v>
      </c>
      <c r="B191" s="1" t="s">
        <v>91</v>
      </c>
      <c r="C191" s="4">
        <v>43</v>
      </c>
      <c r="D191" s="8">
        <v>1.9</v>
      </c>
      <c r="E191" s="4">
        <v>22</v>
      </c>
      <c r="F191" s="8">
        <v>2.25</v>
      </c>
      <c r="G191" s="4">
        <v>21</v>
      </c>
      <c r="H191" s="8">
        <v>1.63</v>
      </c>
      <c r="I191" s="4">
        <v>0</v>
      </c>
    </row>
    <row r="192" spans="1:9" x14ac:dyDescent="0.15">
      <c r="A192" s="2">
        <v>14</v>
      </c>
      <c r="B192" s="1" t="s">
        <v>93</v>
      </c>
      <c r="C192" s="4">
        <v>42</v>
      </c>
      <c r="D192" s="8">
        <v>1.85</v>
      </c>
      <c r="E192" s="4">
        <v>20</v>
      </c>
      <c r="F192" s="8">
        <v>2.0499999999999998</v>
      </c>
      <c r="G192" s="4">
        <v>22</v>
      </c>
      <c r="H192" s="8">
        <v>1.71</v>
      </c>
      <c r="I192" s="4">
        <v>0</v>
      </c>
    </row>
    <row r="193" spans="1:9" x14ac:dyDescent="0.15">
      <c r="A193" s="2">
        <v>14</v>
      </c>
      <c r="B193" s="1" t="s">
        <v>95</v>
      </c>
      <c r="C193" s="4">
        <v>42</v>
      </c>
      <c r="D193" s="8">
        <v>1.85</v>
      </c>
      <c r="E193" s="4">
        <v>3</v>
      </c>
      <c r="F193" s="8">
        <v>0.31</v>
      </c>
      <c r="G193" s="4">
        <v>39</v>
      </c>
      <c r="H193" s="8">
        <v>3.03</v>
      </c>
      <c r="I193" s="4">
        <v>0</v>
      </c>
    </row>
    <row r="194" spans="1:9" x14ac:dyDescent="0.15">
      <c r="A194" s="2">
        <v>16</v>
      </c>
      <c r="B194" s="1" t="s">
        <v>108</v>
      </c>
      <c r="C194" s="4">
        <v>36</v>
      </c>
      <c r="D194" s="8">
        <v>1.59</v>
      </c>
      <c r="E194" s="4">
        <v>2</v>
      </c>
      <c r="F194" s="8">
        <v>0.2</v>
      </c>
      <c r="G194" s="4">
        <v>32</v>
      </c>
      <c r="H194" s="8">
        <v>2.4900000000000002</v>
      </c>
      <c r="I194" s="4">
        <v>2</v>
      </c>
    </row>
    <row r="195" spans="1:9" x14ac:dyDescent="0.15">
      <c r="A195" s="2">
        <v>17</v>
      </c>
      <c r="B195" s="1" t="s">
        <v>90</v>
      </c>
      <c r="C195" s="4">
        <v>35</v>
      </c>
      <c r="D195" s="8">
        <v>1.54</v>
      </c>
      <c r="E195" s="4">
        <v>2</v>
      </c>
      <c r="F195" s="8">
        <v>0.2</v>
      </c>
      <c r="G195" s="4">
        <v>33</v>
      </c>
      <c r="H195" s="8">
        <v>2.56</v>
      </c>
      <c r="I195" s="4">
        <v>0</v>
      </c>
    </row>
    <row r="196" spans="1:9" x14ac:dyDescent="0.15">
      <c r="A196" s="2">
        <v>18</v>
      </c>
      <c r="B196" s="1" t="s">
        <v>101</v>
      </c>
      <c r="C196" s="4">
        <v>30</v>
      </c>
      <c r="D196" s="8">
        <v>1.32</v>
      </c>
      <c r="E196" s="4">
        <v>12</v>
      </c>
      <c r="F196" s="8">
        <v>1.23</v>
      </c>
      <c r="G196" s="4">
        <v>18</v>
      </c>
      <c r="H196" s="8">
        <v>1.4</v>
      </c>
      <c r="I196" s="4">
        <v>0</v>
      </c>
    </row>
    <row r="197" spans="1:9" x14ac:dyDescent="0.15">
      <c r="A197" s="2">
        <v>19</v>
      </c>
      <c r="B197" s="1" t="s">
        <v>104</v>
      </c>
      <c r="C197" s="4">
        <v>27</v>
      </c>
      <c r="D197" s="8">
        <v>1.19</v>
      </c>
      <c r="E197" s="4">
        <v>2</v>
      </c>
      <c r="F197" s="8">
        <v>0.2</v>
      </c>
      <c r="G197" s="4">
        <v>25</v>
      </c>
      <c r="H197" s="8">
        <v>1.94</v>
      </c>
      <c r="I197" s="4">
        <v>0</v>
      </c>
    </row>
    <row r="198" spans="1:9" x14ac:dyDescent="0.15">
      <c r="A198" s="2">
        <v>20</v>
      </c>
      <c r="B198" s="1" t="s">
        <v>109</v>
      </c>
      <c r="C198" s="4">
        <v>24</v>
      </c>
      <c r="D198" s="8">
        <v>1.06</v>
      </c>
      <c r="E198" s="4">
        <v>0</v>
      </c>
      <c r="F198" s="8">
        <v>0</v>
      </c>
      <c r="G198" s="4">
        <v>24</v>
      </c>
      <c r="H198" s="8">
        <v>1.86</v>
      </c>
      <c r="I198" s="4">
        <v>0</v>
      </c>
    </row>
    <row r="199" spans="1:9" x14ac:dyDescent="0.15">
      <c r="A199" s="2">
        <v>20</v>
      </c>
      <c r="B199" s="1" t="s">
        <v>105</v>
      </c>
      <c r="C199" s="4">
        <v>24</v>
      </c>
      <c r="D199" s="8">
        <v>1.06</v>
      </c>
      <c r="E199" s="4">
        <v>5</v>
      </c>
      <c r="F199" s="8">
        <v>0.51</v>
      </c>
      <c r="G199" s="4">
        <v>19</v>
      </c>
      <c r="H199" s="8">
        <v>1.48</v>
      </c>
      <c r="I199" s="4">
        <v>0</v>
      </c>
    </row>
    <row r="200" spans="1:9" x14ac:dyDescent="0.15">
      <c r="A200" s="1"/>
      <c r="C200" s="4"/>
      <c r="D200" s="8"/>
      <c r="E200" s="4"/>
      <c r="F200" s="8"/>
      <c r="G200" s="4"/>
      <c r="H200" s="8"/>
      <c r="I200" s="4"/>
    </row>
    <row r="201" spans="1:9" x14ac:dyDescent="0.15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15">
      <c r="A202" s="2">
        <v>1</v>
      </c>
      <c r="B202" s="1" t="s">
        <v>96</v>
      </c>
      <c r="C202" s="4">
        <v>333</v>
      </c>
      <c r="D202" s="8">
        <v>12.95</v>
      </c>
      <c r="E202" s="4">
        <v>214</v>
      </c>
      <c r="F202" s="8">
        <v>19.38</v>
      </c>
      <c r="G202" s="4">
        <v>118</v>
      </c>
      <c r="H202" s="8">
        <v>8.06</v>
      </c>
      <c r="I202" s="4">
        <v>1</v>
      </c>
    </row>
    <row r="203" spans="1:9" x14ac:dyDescent="0.15">
      <c r="A203" s="2">
        <v>2</v>
      </c>
      <c r="B203" s="1" t="s">
        <v>100</v>
      </c>
      <c r="C203" s="4">
        <v>287</v>
      </c>
      <c r="D203" s="8">
        <v>11.16</v>
      </c>
      <c r="E203" s="4">
        <v>206</v>
      </c>
      <c r="F203" s="8">
        <v>18.66</v>
      </c>
      <c r="G203" s="4">
        <v>81</v>
      </c>
      <c r="H203" s="8">
        <v>5.53</v>
      </c>
      <c r="I203" s="4">
        <v>0</v>
      </c>
    </row>
    <row r="204" spans="1:9" x14ac:dyDescent="0.15">
      <c r="A204" s="2">
        <v>3</v>
      </c>
      <c r="B204" s="1" t="s">
        <v>99</v>
      </c>
      <c r="C204" s="4">
        <v>205</v>
      </c>
      <c r="D204" s="8">
        <v>7.97</v>
      </c>
      <c r="E204" s="4">
        <v>160</v>
      </c>
      <c r="F204" s="8">
        <v>14.49</v>
      </c>
      <c r="G204" s="4">
        <v>45</v>
      </c>
      <c r="H204" s="8">
        <v>3.07</v>
      </c>
      <c r="I204" s="4">
        <v>0</v>
      </c>
    </row>
    <row r="205" spans="1:9" x14ac:dyDescent="0.15">
      <c r="A205" s="2">
        <v>4</v>
      </c>
      <c r="B205" s="1" t="s">
        <v>94</v>
      </c>
      <c r="C205" s="4">
        <v>164</v>
      </c>
      <c r="D205" s="8">
        <v>6.38</v>
      </c>
      <c r="E205" s="4">
        <v>66</v>
      </c>
      <c r="F205" s="8">
        <v>5.98</v>
      </c>
      <c r="G205" s="4">
        <v>97</v>
      </c>
      <c r="H205" s="8">
        <v>6.63</v>
      </c>
      <c r="I205" s="4">
        <v>1</v>
      </c>
    </row>
    <row r="206" spans="1:9" x14ac:dyDescent="0.15">
      <c r="A206" s="2">
        <v>5</v>
      </c>
      <c r="B206" s="1" t="s">
        <v>85</v>
      </c>
      <c r="C206" s="4">
        <v>131</v>
      </c>
      <c r="D206" s="8">
        <v>5.0999999999999996</v>
      </c>
      <c r="E206" s="4">
        <v>17</v>
      </c>
      <c r="F206" s="8">
        <v>1.54</v>
      </c>
      <c r="G206" s="4">
        <v>113</v>
      </c>
      <c r="H206" s="8">
        <v>7.72</v>
      </c>
      <c r="I206" s="4">
        <v>1</v>
      </c>
    </row>
    <row r="207" spans="1:9" x14ac:dyDescent="0.15">
      <c r="A207" s="2">
        <v>6</v>
      </c>
      <c r="B207" s="1" t="s">
        <v>92</v>
      </c>
      <c r="C207" s="4">
        <v>124</v>
      </c>
      <c r="D207" s="8">
        <v>4.82</v>
      </c>
      <c r="E207" s="4">
        <v>67</v>
      </c>
      <c r="F207" s="8">
        <v>6.07</v>
      </c>
      <c r="G207" s="4">
        <v>57</v>
      </c>
      <c r="H207" s="8">
        <v>3.89</v>
      </c>
      <c r="I207" s="4">
        <v>0</v>
      </c>
    </row>
    <row r="208" spans="1:9" x14ac:dyDescent="0.15">
      <c r="A208" s="2">
        <v>7</v>
      </c>
      <c r="B208" s="1" t="s">
        <v>103</v>
      </c>
      <c r="C208" s="4">
        <v>123</v>
      </c>
      <c r="D208" s="8">
        <v>4.78</v>
      </c>
      <c r="E208" s="4">
        <v>106</v>
      </c>
      <c r="F208" s="8">
        <v>9.6</v>
      </c>
      <c r="G208" s="4">
        <v>17</v>
      </c>
      <c r="H208" s="8">
        <v>1.1599999999999999</v>
      </c>
      <c r="I208" s="4">
        <v>0</v>
      </c>
    </row>
    <row r="209" spans="1:9" x14ac:dyDescent="0.15">
      <c r="A209" s="2">
        <v>8</v>
      </c>
      <c r="B209" s="1" t="s">
        <v>102</v>
      </c>
      <c r="C209" s="4">
        <v>103</v>
      </c>
      <c r="D209" s="8">
        <v>4.01</v>
      </c>
      <c r="E209" s="4">
        <v>72</v>
      </c>
      <c r="F209" s="8">
        <v>6.52</v>
      </c>
      <c r="G209" s="4">
        <v>31</v>
      </c>
      <c r="H209" s="8">
        <v>2.12</v>
      </c>
      <c r="I209" s="4">
        <v>0</v>
      </c>
    </row>
    <row r="210" spans="1:9" x14ac:dyDescent="0.15">
      <c r="A210" s="2">
        <v>9</v>
      </c>
      <c r="B210" s="1" t="s">
        <v>86</v>
      </c>
      <c r="C210" s="4">
        <v>88</v>
      </c>
      <c r="D210" s="8">
        <v>3.42</v>
      </c>
      <c r="E210" s="4">
        <v>22</v>
      </c>
      <c r="F210" s="8">
        <v>1.99</v>
      </c>
      <c r="G210" s="4">
        <v>66</v>
      </c>
      <c r="H210" s="8">
        <v>4.51</v>
      </c>
      <c r="I210" s="4">
        <v>0</v>
      </c>
    </row>
    <row r="211" spans="1:9" x14ac:dyDescent="0.15">
      <c r="A211" s="2">
        <v>10</v>
      </c>
      <c r="B211" s="1" t="s">
        <v>91</v>
      </c>
      <c r="C211" s="4">
        <v>74</v>
      </c>
      <c r="D211" s="8">
        <v>2.88</v>
      </c>
      <c r="E211" s="4">
        <v>22</v>
      </c>
      <c r="F211" s="8">
        <v>1.99</v>
      </c>
      <c r="G211" s="4">
        <v>52</v>
      </c>
      <c r="H211" s="8">
        <v>3.55</v>
      </c>
      <c r="I211" s="4">
        <v>0</v>
      </c>
    </row>
    <row r="212" spans="1:9" x14ac:dyDescent="0.15">
      <c r="A212" s="2">
        <v>11</v>
      </c>
      <c r="B212" s="1" t="s">
        <v>87</v>
      </c>
      <c r="C212" s="4">
        <v>68</v>
      </c>
      <c r="D212" s="8">
        <v>2.64</v>
      </c>
      <c r="E212" s="4">
        <v>6</v>
      </c>
      <c r="F212" s="8">
        <v>0.54</v>
      </c>
      <c r="G212" s="4">
        <v>62</v>
      </c>
      <c r="H212" s="8">
        <v>4.2300000000000004</v>
      </c>
      <c r="I212" s="4">
        <v>0</v>
      </c>
    </row>
    <row r="213" spans="1:9" x14ac:dyDescent="0.15">
      <c r="A213" s="2">
        <v>11</v>
      </c>
      <c r="B213" s="1" t="s">
        <v>97</v>
      </c>
      <c r="C213" s="4">
        <v>68</v>
      </c>
      <c r="D213" s="8">
        <v>2.64</v>
      </c>
      <c r="E213" s="4">
        <v>35</v>
      </c>
      <c r="F213" s="8">
        <v>3.17</v>
      </c>
      <c r="G213" s="4">
        <v>33</v>
      </c>
      <c r="H213" s="8">
        <v>2.25</v>
      </c>
      <c r="I213" s="4">
        <v>0</v>
      </c>
    </row>
    <row r="214" spans="1:9" x14ac:dyDescent="0.15">
      <c r="A214" s="2">
        <v>13</v>
      </c>
      <c r="B214" s="1" t="s">
        <v>98</v>
      </c>
      <c r="C214" s="4">
        <v>67</v>
      </c>
      <c r="D214" s="8">
        <v>2.61</v>
      </c>
      <c r="E214" s="4">
        <v>19</v>
      </c>
      <c r="F214" s="8">
        <v>1.72</v>
      </c>
      <c r="G214" s="4">
        <v>48</v>
      </c>
      <c r="H214" s="8">
        <v>3.28</v>
      </c>
      <c r="I214" s="4">
        <v>0</v>
      </c>
    </row>
    <row r="215" spans="1:9" x14ac:dyDescent="0.15">
      <c r="A215" s="2">
        <v>14</v>
      </c>
      <c r="B215" s="1" t="s">
        <v>90</v>
      </c>
      <c r="C215" s="4">
        <v>47</v>
      </c>
      <c r="D215" s="8">
        <v>1.83</v>
      </c>
      <c r="E215" s="4">
        <v>1</v>
      </c>
      <c r="F215" s="8">
        <v>0.09</v>
      </c>
      <c r="G215" s="4">
        <v>46</v>
      </c>
      <c r="H215" s="8">
        <v>3.14</v>
      </c>
      <c r="I215" s="4">
        <v>0</v>
      </c>
    </row>
    <row r="216" spans="1:9" x14ac:dyDescent="0.15">
      <c r="A216" s="2">
        <v>15</v>
      </c>
      <c r="B216" s="1" t="s">
        <v>107</v>
      </c>
      <c r="C216" s="4">
        <v>45</v>
      </c>
      <c r="D216" s="8">
        <v>1.75</v>
      </c>
      <c r="E216" s="4">
        <v>5</v>
      </c>
      <c r="F216" s="8">
        <v>0.45</v>
      </c>
      <c r="G216" s="4">
        <v>40</v>
      </c>
      <c r="H216" s="8">
        <v>2.73</v>
      </c>
      <c r="I216" s="4">
        <v>0</v>
      </c>
    </row>
    <row r="217" spans="1:9" x14ac:dyDescent="0.15">
      <c r="A217" s="2">
        <v>15</v>
      </c>
      <c r="B217" s="1" t="s">
        <v>95</v>
      </c>
      <c r="C217" s="4">
        <v>45</v>
      </c>
      <c r="D217" s="8">
        <v>1.75</v>
      </c>
      <c r="E217" s="4">
        <v>5</v>
      </c>
      <c r="F217" s="8">
        <v>0.45</v>
      </c>
      <c r="G217" s="4">
        <v>40</v>
      </c>
      <c r="H217" s="8">
        <v>2.73</v>
      </c>
      <c r="I217" s="4">
        <v>0</v>
      </c>
    </row>
    <row r="218" spans="1:9" x14ac:dyDescent="0.15">
      <c r="A218" s="2">
        <v>17</v>
      </c>
      <c r="B218" s="1" t="s">
        <v>106</v>
      </c>
      <c r="C218" s="4">
        <v>44</v>
      </c>
      <c r="D218" s="8">
        <v>1.71</v>
      </c>
      <c r="E218" s="4">
        <v>4</v>
      </c>
      <c r="F218" s="8">
        <v>0.36</v>
      </c>
      <c r="G218" s="4">
        <v>40</v>
      </c>
      <c r="H218" s="8">
        <v>2.73</v>
      </c>
      <c r="I218" s="4">
        <v>0</v>
      </c>
    </row>
    <row r="219" spans="1:9" x14ac:dyDescent="0.15">
      <c r="A219" s="2">
        <v>17</v>
      </c>
      <c r="B219" s="1" t="s">
        <v>93</v>
      </c>
      <c r="C219" s="4">
        <v>44</v>
      </c>
      <c r="D219" s="8">
        <v>1.71</v>
      </c>
      <c r="E219" s="4">
        <v>15</v>
      </c>
      <c r="F219" s="8">
        <v>1.36</v>
      </c>
      <c r="G219" s="4">
        <v>29</v>
      </c>
      <c r="H219" s="8">
        <v>1.98</v>
      </c>
      <c r="I219" s="4">
        <v>0</v>
      </c>
    </row>
    <row r="220" spans="1:9" x14ac:dyDescent="0.15">
      <c r="A220" s="2">
        <v>19</v>
      </c>
      <c r="B220" s="1" t="s">
        <v>105</v>
      </c>
      <c r="C220" s="4">
        <v>39</v>
      </c>
      <c r="D220" s="8">
        <v>1.52</v>
      </c>
      <c r="E220" s="4">
        <v>4</v>
      </c>
      <c r="F220" s="8">
        <v>0.36</v>
      </c>
      <c r="G220" s="4">
        <v>35</v>
      </c>
      <c r="H220" s="8">
        <v>2.39</v>
      </c>
      <c r="I220" s="4">
        <v>0</v>
      </c>
    </row>
    <row r="221" spans="1:9" x14ac:dyDescent="0.15">
      <c r="A221" s="2">
        <v>20</v>
      </c>
      <c r="B221" s="1" t="s">
        <v>101</v>
      </c>
      <c r="C221" s="4">
        <v>36</v>
      </c>
      <c r="D221" s="8">
        <v>1.4</v>
      </c>
      <c r="E221" s="4">
        <v>10</v>
      </c>
      <c r="F221" s="8">
        <v>0.91</v>
      </c>
      <c r="G221" s="4">
        <v>26</v>
      </c>
      <c r="H221" s="8">
        <v>1.78</v>
      </c>
      <c r="I221" s="4">
        <v>0</v>
      </c>
    </row>
    <row r="222" spans="1:9" x14ac:dyDescent="0.15">
      <c r="A222" s="1"/>
      <c r="C222" s="4"/>
      <c r="D222" s="8"/>
      <c r="E222" s="4"/>
      <c r="F222" s="8"/>
      <c r="G222" s="4"/>
      <c r="H222" s="8"/>
      <c r="I222" s="4"/>
    </row>
    <row r="223" spans="1:9" x14ac:dyDescent="0.15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15">
      <c r="A224" s="2">
        <v>1</v>
      </c>
      <c r="B224" s="1" t="s">
        <v>96</v>
      </c>
      <c r="C224" s="4">
        <v>937</v>
      </c>
      <c r="D224" s="8">
        <v>15.62</v>
      </c>
      <c r="E224" s="4">
        <v>468</v>
      </c>
      <c r="F224" s="8">
        <v>21</v>
      </c>
      <c r="G224" s="4">
        <v>469</v>
      </c>
      <c r="H224" s="8">
        <v>12.46</v>
      </c>
      <c r="I224" s="4">
        <v>0</v>
      </c>
    </row>
    <row r="225" spans="1:9" x14ac:dyDescent="0.15">
      <c r="A225" s="2">
        <v>2</v>
      </c>
      <c r="B225" s="1" t="s">
        <v>99</v>
      </c>
      <c r="C225" s="4">
        <v>485</v>
      </c>
      <c r="D225" s="8">
        <v>8.09</v>
      </c>
      <c r="E225" s="4">
        <v>380</v>
      </c>
      <c r="F225" s="8">
        <v>17.05</v>
      </c>
      <c r="G225" s="4">
        <v>104</v>
      </c>
      <c r="H225" s="8">
        <v>2.76</v>
      </c>
      <c r="I225" s="4">
        <v>1</v>
      </c>
    </row>
    <row r="226" spans="1:9" x14ac:dyDescent="0.15">
      <c r="A226" s="2">
        <v>3</v>
      </c>
      <c r="B226" s="1" t="s">
        <v>100</v>
      </c>
      <c r="C226" s="4">
        <v>459</v>
      </c>
      <c r="D226" s="8">
        <v>7.65</v>
      </c>
      <c r="E226" s="4">
        <v>326</v>
      </c>
      <c r="F226" s="8">
        <v>14.63</v>
      </c>
      <c r="G226" s="4">
        <v>133</v>
      </c>
      <c r="H226" s="8">
        <v>3.53</v>
      </c>
      <c r="I226" s="4">
        <v>0</v>
      </c>
    </row>
    <row r="227" spans="1:9" x14ac:dyDescent="0.15">
      <c r="A227" s="2">
        <v>4</v>
      </c>
      <c r="B227" s="1" t="s">
        <v>94</v>
      </c>
      <c r="C227" s="4">
        <v>312</v>
      </c>
      <c r="D227" s="8">
        <v>5.2</v>
      </c>
      <c r="E227" s="4">
        <v>129</v>
      </c>
      <c r="F227" s="8">
        <v>5.79</v>
      </c>
      <c r="G227" s="4">
        <v>183</v>
      </c>
      <c r="H227" s="8">
        <v>4.8600000000000003</v>
      </c>
      <c r="I227" s="4">
        <v>0</v>
      </c>
    </row>
    <row r="228" spans="1:9" x14ac:dyDescent="0.15">
      <c r="A228" s="2">
        <v>5</v>
      </c>
      <c r="B228" s="1" t="s">
        <v>103</v>
      </c>
      <c r="C228" s="4">
        <v>242</v>
      </c>
      <c r="D228" s="8">
        <v>4.03</v>
      </c>
      <c r="E228" s="4">
        <v>196</v>
      </c>
      <c r="F228" s="8">
        <v>8.7899999999999991</v>
      </c>
      <c r="G228" s="4">
        <v>46</v>
      </c>
      <c r="H228" s="8">
        <v>1.22</v>
      </c>
      <c r="I228" s="4">
        <v>0</v>
      </c>
    </row>
    <row r="229" spans="1:9" x14ac:dyDescent="0.15">
      <c r="A229" s="2">
        <v>6</v>
      </c>
      <c r="B229" s="1" t="s">
        <v>85</v>
      </c>
      <c r="C229" s="4">
        <v>237</v>
      </c>
      <c r="D229" s="8">
        <v>3.95</v>
      </c>
      <c r="E229" s="4">
        <v>26</v>
      </c>
      <c r="F229" s="8">
        <v>1.17</v>
      </c>
      <c r="G229" s="4">
        <v>211</v>
      </c>
      <c r="H229" s="8">
        <v>5.6</v>
      </c>
      <c r="I229" s="4">
        <v>0</v>
      </c>
    </row>
    <row r="230" spans="1:9" x14ac:dyDescent="0.15">
      <c r="A230" s="2">
        <v>7</v>
      </c>
      <c r="B230" s="1" t="s">
        <v>88</v>
      </c>
      <c r="C230" s="4">
        <v>233</v>
      </c>
      <c r="D230" s="8">
        <v>3.88</v>
      </c>
      <c r="E230" s="4">
        <v>44</v>
      </c>
      <c r="F230" s="8">
        <v>1.97</v>
      </c>
      <c r="G230" s="4">
        <v>189</v>
      </c>
      <c r="H230" s="8">
        <v>5.0199999999999996</v>
      </c>
      <c r="I230" s="4">
        <v>0</v>
      </c>
    </row>
    <row r="231" spans="1:9" x14ac:dyDescent="0.15">
      <c r="A231" s="2">
        <v>8</v>
      </c>
      <c r="B231" s="1" t="s">
        <v>86</v>
      </c>
      <c r="C231" s="4">
        <v>207</v>
      </c>
      <c r="D231" s="8">
        <v>3.45</v>
      </c>
      <c r="E231" s="4">
        <v>41</v>
      </c>
      <c r="F231" s="8">
        <v>1.84</v>
      </c>
      <c r="G231" s="4">
        <v>166</v>
      </c>
      <c r="H231" s="8">
        <v>4.41</v>
      </c>
      <c r="I231" s="4">
        <v>0</v>
      </c>
    </row>
    <row r="232" spans="1:9" x14ac:dyDescent="0.15">
      <c r="A232" s="2">
        <v>8</v>
      </c>
      <c r="B232" s="1" t="s">
        <v>92</v>
      </c>
      <c r="C232" s="4">
        <v>207</v>
      </c>
      <c r="D232" s="8">
        <v>3.45</v>
      </c>
      <c r="E232" s="4">
        <v>95</v>
      </c>
      <c r="F232" s="8">
        <v>4.26</v>
      </c>
      <c r="G232" s="4">
        <v>112</v>
      </c>
      <c r="H232" s="8">
        <v>2.97</v>
      </c>
      <c r="I232" s="4">
        <v>0</v>
      </c>
    </row>
    <row r="233" spans="1:9" x14ac:dyDescent="0.15">
      <c r="A233" s="2">
        <v>10</v>
      </c>
      <c r="B233" s="1" t="s">
        <v>97</v>
      </c>
      <c r="C233" s="4">
        <v>194</v>
      </c>
      <c r="D233" s="8">
        <v>3.23</v>
      </c>
      <c r="E233" s="4">
        <v>84</v>
      </c>
      <c r="F233" s="8">
        <v>3.77</v>
      </c>
      <c r="G233" s="4">
        <v>110</v>
      </c>
      <c r="H233" s="8">
        <v>2.92</v>
      </c>
      <c r="I233" s="4">
        <v>0</v>
      </c>
    </row>
    <row r="234" spans="1:9" x14ac:dyDescent="0.15">
      <c r="A234" s="2">
        <v>11</v>
      </c>
      <c r="B234" s="1" t="s">
        <v>87</v>
      </c>
      <c r="C234" s="4">
        <v>190</v>
      </c>
      <c r="D234" s="8">
        <v>3.17</v>
      </c>
      <c r="E234" s="4">
        <v>15</v>
      </c>
      <c r="F234" s="8">
        <v>0.67</v>
      </c>
      <c r="G234" s="4">
        <v>175</v>
      </c>
      <c r="H234" s="8">
        <v>4.6500000000000004</v>
      </c>
      <c r="I234" s="4">
        <v>0</v>
      </c>
    </row>
    <row r="235" spans="1:9" x14ac:dyDescent="0.15">
      <c r="A235" s="2">
        <v>12</v>
      </c>
      <c r="B235" s="1" t="s">
        <v>102</v>
      </c>
      <c r="C235" s="4">
        <v>170</v>
      </c>
      <c r="D235" s="8">
        <v>2.83</v>
      </c>
      <c r="E235" s="4">
        <v>105</v>
      </c>
      <c r="F235" s="8">
        <v>4.71</v>
      </c>
      <c r="G235" s="4">
        <v>65</v>
      </c>
      <c r="H235" s="8">
        <v>1.73</v>
      </c>
      <c r="I235" s="4">
        <v>0</v>
      </c>
    </row>
    <row r="236" spans="1:9" x14ac:dyDescent="0.15">
      <c r="A236" s="2">
        <v>13</v>
      </c>
      <c r="B236" s="1" t="s">
        <v>95</v>
      </c>
      <c r="C236" s="4">
        <v>150</v>
      </c>
      <c r="D236" s="8">
        <v>2.5</v>
      </c>
      <c r="E236" s="4">
        <v>11</v>
      </c>
      <c r="F236" s="8">
        <v>0.49</v>
      </c>
      <c r="G236" s="4">
        <v>139</v>
      </c>
      <c r="H236" s="8">
        <v>3.69</v>
      </c>
      <c r="I236" s="4">
        <v>0</v>
      </c>
    </row>
    <row r="237" spans="1:9" x14ac:dyDescent="0.15">
      <c r="A237" s="2">
        <v>14</v>
      </c>
      <c r="B237" s="1" t="s">
        <v>89</v>
      </c>
      <c r="C237" s="4">
        <v>148</v>
      </c>
      <c r="D237" s="8">
        <v>2.4700000000000002</v>
      </c>
      <c r="E237" s="4">
        <v>13</v>
      </c>
      <c r="F237" s="8">
        <v>0.57999999999999996</v>
      </c>
      <c r="G237" s="4">
        <v>135</v>
      </c>
      <c r="H237" s="8">
        <v>3.59</v>
      </c>
      <c r="I237" s="4">
        <v>0</v>
      </c>
    </row>
    <row r="238" spans="1:9" x14ac:dyDescent="0.15">
      <c r="A238" s="2">
        <v>15</v>
      </c>
      <c r="B238" s="1" t="s">
        <v>98</v>
      </c>
      <c r="C238" s="4">
        <v>139</v>
      </c>
      <c r="D238" s="8">
        <v>2.3199999999999998</v>
      </c>
      <c r="E238" s="4">
        <v>31</v>
      </c>
      <c r="F238" s="8">
        <v>1.39</v>
      </c>
      <c r="G238" s="4">
        <v>108</v>
      </c>
      <c r="H238" s="8">
        <v>2.87</v>
      </c>
      <c r="I238" s="4">
        <v>0</v>
      </c>
    </row>
    <row r="239" spans="1:9" x14ac:dyDescent="0.15">
      <c r="A239" s="2">
        <v>16</v>
      </c>
      <c r="B239" s="1" t="s">
        <v>90</v>
      </c>
      <c r="C239" s="4">
        <v>138</v>
      </c>
      <c r="D239" s="8">
        <v>2.2999999999999998</v>
      </c>
      <c r="E239" s="4">
        <v>2</v>
      </c>
      <c r="F239" s="8">
        <v>0.09</v>
      </c>
      <c r="G239" s="4">
        <v>136</v>
      </c>
      <c r="H239" s="8">
        <v>3.61</v>
      </c>
      <c r="I239" s="4">
        <v>0</v>
      </c>
    </row>
    <row r="240" spans="1:9" x14ac:dyDescent="0.15">
      <c r="A240" s="2">
        <v>16</v>
      </c>
      <c r="B240" s="1" t="s">
        <v>91</v>
      </c>
      <c r="C240" s="4">
        <v>138</v>
      </c>
      <c r="D240" s="8">
        <v>2.2999999999999998</v>
      </c>
      <c r="E240" s="4">
        <v>41</v>
      </c>
      <c r="F240" s="8">
        <v>1.84</v>
      </c>
      <c r="G240" s="4">
        <v>97</v>
      </c>
      <c r="H240" s="8">
        <v>2.58</v>
      </c>
      <c r="I240" s="4">
        <v>0</v>
      </c>
    </row>
    <row r="241" spans="1:9" x14ac:dyDescent="0.15">
      <c r="A241" s="2">
        <v>18</v>
      </c>
      <c r="B241" s="1" t="s">
        <v>93</v>
      </c>
      <c r="C241" s="4">
        <v>124</v>
      </c>
      <c r="D241" s="8">
        <v>2.0699999999999998</v>
      </c>
      <c r="E241" s="4">
        <v>34</v>
      </c>
      <c r="F241" s="8">
        <v>1.53</v>
      </c>
      <c r="G241" s="4">
        <v>90</v>
      </c>
      <c r="H241" s="8">
        <v>2.39</v>
      </c>
      <c r="I241" s="4">
        <v>0</v>
      </c>
    </row>
    <row r="242" spans="1:9" x14ac:dyDescent="0.15">
      <c r="A242" s="2">
        <v>19</v>
      </c>
      <c r="B242" s="1" t="s">
        <v>104</v>
      </c>
      <c r="C242" s="4">
        <v>84</v>
      </c>
      <c r="D242" s="8">
        <v>1.4</v>
      </c>
      <c r="E242" s="4">
        <v>5</v>
      </c>
      <c r="F242" s="8">
        <v>0.22</v>
      </c>
      <c r="G242" s="4">
        <v>79</v>
      </c>
      <c r="H242" s="8">
        <v>2.1</v>
      </c>
      <c r="I242" s="4">
        <v>0</v>
      </c>
    </row>
    <row r="243" spans="1:9" x14ac:dyDescent="0.15">
      <c r="A243" s="2">
        <v>20</v>
      </c>
      <c r="B243" s="1" t="s">
        <v>109</v>
      </c>
      <c r="C243" s="4">
        <v>71</v>
      </c>
      <c r="D243" s="8">
        <v>1.18</v>
      </c>
      <c r="E243" s="4">
        <v>0</v>
      </c>
      <c r="F243" s="8">
        <v>0</v>
      </c>
      <c r="G243" s="4">
        <v>71</v>
      </c>
      <c r="H243" s="8">
        <v>1.89</v>
      </c>
      <c r="I243" s="4">
        <v>0</v>
      </c>
    </row>
    <row r="244" spans="1:9" x14ac:dyDescent="0.15">
      <c r="A244" s="2">
        <v>20</v>
      </c>
      <c r="B244" s="1" t="s">
        <v>105</v>
      </c>
      <c r="C244" s="4">
        <v>71</v>
      </c>
      <c r="D244" s="8">
        <v>1.18</v>
      </c>
      <c r="E244" s="4">
        <v>5</v>
      </c>
      <c r="F244" s="8">
        <v>0.22</v>
      </c>
      <c r="G244" s="4">
        <v>66</v>
      </c>
      <c r="H244" s="8">
        <v>1.75</v>
      </c>
      <c r="I244" s="4">
        <v>0</v>
      </c>
    </row>
    <row r="245" spans="1:9" x14ac:dyDescent="0.15">
      <c r="A245" s="1"/>
      <c r="C245" s="4"/>
      <c r="D245" s="8"/>
      <c r="E245" s="4"/>
      <c r="F245" s="8"/>
      <c r="G245" s="4"/>
      <c r="H245" s="8"/>
      <c r="I245" s="4"/>
    </row>
    <row r="246" spans="1:9" x14ac:dyDescent="0.15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15">
      <c r="A247" s="2">
        <v>1</v>
      </c>
      <c r="B247" s="1" t="s">
        <v>100</v>
      </c>
      <c r="C247" s="4">
        <v>337</v>
      </c>
      <c r="D247" s="8">
        <v>11.17</v>
      </c>
      <c r="E247" s="4">
        <v>252</v>
      </c>
      <c r="F247" s="8">
        <v>22.78</v>
      </c>
      <c r="G247" s="4">
        <v>85</v>
      </c>
      <c r="H247" s="8">
        <v>4.46</v>
      </c>
      <c r="I247" s="4">
        <v>0</v>
      </c>
    </row>
    <row r="248" spans="1:9" x14ac:dyDescent="0.15">
      <c r="A248" s="2">
        <v>2</v>
      </c>
      <c r="B248" s="1" t="s">
        <v>99</v>
      </c>
      <c r="C248" s="4">
        <v>250</v>
      </c>
      <c r="D248" s="8">
        <v>8.2899999999999991</v>
      </c>
      <c r="E248" s="4">
        <v>204</v>
      </c>
      <c r="F248" s="8">
        <v>18.440000000000001</v>
      </c>
      <c r="G248" s="4">
        <v>46</v>
      </c>
      <c r="H248" s="8">
        <v>2.41</v>
      </c>
      <c r="I248" s="4">
        <v>0</v>
      </c>
    </row>
    <row r="249" spans="1:9" x14ac:dyDescent="0.15">
      <c r="A249" s="2">
        <v>3</v>
      </c>
      <c r="B249" s="1" t="s">
        <v>96</v>
      </c>
      <c r="C249" s="4">
        <v>249</v>
      </c>
      <c r="D249" s="8">
        <v>8.26</v>
      </c>
      <c r="E249" s="4">
        <v>49</v>
      </c>
      <c r="F249" s="8">
        <v>4.43</v>
      </c>
      <c r="G249" s="4">
        <v>199</v>
      </c>
      <c r="H249" s="8">
        <v>10.45</v>
      </c>
      <c r="I249" s="4">
        <v>1</v>
      </c>
    </row>
    <row r="250" spans="1:9" x14ac:dyDescent="0.15">
      <c r="A250" s="2">
        <v>4</v>
      </c>
      <c r="B250" s="1" t="s">
        <v>85</v>
      </c>
      <c r="C250" s="4">
        <v>223</v>
      </c>
      <c r="D250" s="8">
        <v>7.39</v>
      </c>
      <c r="E250" s="4">
        <v>23</v>
      </c>
      <c r="F250" s="8">
        <v>2.08</v>
      </c>
      <c r="G250" s="4">
        <v>200</v>
      </c>
      <c r="H250" s="8">
        <v>10.5</v>
      </c>
      <c r="I250" s="4">
        <v>0</v>
      </c>
    </row>
    <row r="251" spans="1:9" x14ac:dyDescent="0.15">
      <c r="A251" s="2">
        <v>5</v>
      </c>
      <c r="B251" s="1" t="s">
        <v>86</v>
      </c>
      <c r="C251" s="4">
        <v>185</v>
      </c>
      <c r="D251" s="8">
        <v>6.13</v>
      </c>
      <c r="E251" s="4">
        <v>33</v>
      </c>
      <c r="F251" s="8">
        <v>2.98</v>
      </c>
      <c r="G251" s="4">
        <v>152</v>
      </c>
      <c r="H251" s="8">
        <v>7.98</v>
      </c>
      <c r="I251" s="4">
        <v>0</v>
      </c>
    </row>
    <row r="252" spans="1:9" x14ac:dyDescent="0.15">
      <c r="A252" s="2">
        <v>6</v>
      </c>
      <c r="B252" s="1" t="s">
        <v>94</v>
      </c>
      <c r="C252" s="4">
        <v>174</v>
      </c>
      <c r="D252" s="8">
        <v>5.77</v>
      </c>
      <c r="E252" s="4">
        <v>53</v>
      </c>
      <c r="F252" s="8">
        <v>4.79</v>
      </c>
      <c r="G252" s="4">
        <v>121</v>
      </c>
      <c r="H252" s="8">
        <v>6.35</v>
      </c>
      <c r="I252" s="4">
        <v>0</v>
      </c>
    </row>
    <row r="253" spans="1:9" x14ac:dyDescent="0.15">
      <c r="A253" s="2">
        <v>7</v>
      </c>
      <c r="B253" s="1" t="s">
        <v>87</v>
      </c>
      <c r="C253" s="4">
        <v>151</v>
      </c>
      <c r="D253" s="8">
        <v>5.01</v>
      </c>
      <c r="E253" s="4">
        <v>14</v>
      </c>
      <c r="F253" s="8">
        <v>1.27</v>
      </c>
      <c r="G253" s="4">
        <v>137</v>
      </c>
      <c r="H253" s="8">
        <v>7.19</v>
      </c>
      <c r="I253" s="4">
        <v>0</v>
      </c>
    </row>
    <row r="254" spans="1:9" x14ac:dyDescent="0.15">
      <c r="A254" s="2">
        <v>7</v>
      </c>
      <c r="B254" s="1" t="s">
        <v>102</v>
      </c>
      <c r="C254" s="4">
        <v>151</v>
      </c>
      <c r="D254" s="8">
        <v>5.01</v>
      </c>
      <c r="E254" s="4">
        <v>101</v>
      </c>
      <c r="F254" s="8">
        <v>9.1300000000000008</v>
      </c>
      <c r="G254" s="4">
        <v>50</v>
      </c>
      <c r="H254" s="8">
        <v>2.62</v>
      </c>
      <c r="I254" s="4">
        <v>0</v>
      </c>
    </row>
    <row r="255" spans="1:9" x14ac:dyDescent="0.15">
      <c r="A255" s="2">
        <v>9</v>
      </c>
      <c r="B255" s="1" t="s">
        <v>103</v>
      </c>
      <c r="C255" s="4">
        <v>116</v>
      </c>
      <c r="D255" s="8">
        <v>3.85</v>
      </c>
      <c r="E255" s="4">
        <v>95</v>
      </c>
      <c r="F255" s="8">
        <v>8.59</v>
      </c>
      <c r="G255" s="4">
        <v>20</v>
      </c>
      <c r="H255" s="8">
        <v>1.05</v>
      </c>
      <c r="I255" s="4">
        <v>1</v>
      </c>
    </row>
    <row r="256" spans="1:9" x14ac:dyDescent="0.15">
      <c r="A256" s="2">
        <v>10</v>
      </c>
      <c r="B256" s="1" t="s">
        <v>92</v>
      </c>
      <c r="C256" s="4">
        <v>109</v>
      </c>
      <c r="D256" s="8">
        <v>3.61</v>
      </c>
      <c r="E256" s="4">
        <v>49</v>
      </c>
      <c r="F256" s="8">
        <v>4.43</v>
      </c>
      <c r="G256" s="4">
        <v>60</v>
      </c>
      <c r="H256" s="8">
        <v>3.15</v>
      </c>
      <c r="I256" s="4">
        <v>0</v>
      </c>
    </row>
    <row r="257" spans="1:9" x14ac:dyDescent="0.15">
      <c r="A257" s="2">
        <v>11</v>
      </c>
      <c r="B257" s="1" t="s">
        <v>97</v>
      </c>
      <c r="C257" s="4">
        <v>99</v>
      </c>
      <c r="D257" s="8">
        <v>3.28</v>
      </c>
      <c r="E257" s="4">
        <v>55</v>
      </c>
      <c r="F257" s="8">
        <v>4.97</v>
      </c>
      <c r="G257" s="4">
        <v>44</v>
      </c>
      <c r="H257" s="8">
        <v>2.31</v>
      </c>
      <c r="I257" s="4">
        <v>0</v>
      </c>
    </row>
    <row r="258" spans="1:9" x14ac:dyDescent="0.15">
      <c r="A258" s="2">
        <v>12</v>
      </c>
      <c r="B258" s="1" t="s">
        <v>91</v>
      </c>
      <c r="C258" s="4">
        <v>85</v>
      </c>
      <c r="D258" s="8">
        <v>2.82</v>
      </c>
      <c r="E258" s="4">
        <v>21</v>
      </c>
      <c r="F258" s="8">
        <v>1.9</v>
      </c>
      <c r="G258" s="4">
        <v>64</v>
      </c>
      <c r="H258" s="8">
        <v>3.36</v>
      </c>
      <c r="I258" s="4">
        <v>0</v>
      </c>
    </row>
    <row r="259" spans="1:9" x14ac:dyDescent="0.15">
      <c r="A259" s="2">
        <v>13</v>
      </c>
      <c r="B259" s="1" t="s">
        <v>93</v>
      </c>
      <c r="C259" s="4">
        <v>84</v>
      </c>
      <c r="D259" s="8">
        <v>2.79</v>
      </c>
      <c r="E259" s="4">
        <v>17</v>
      </c>
      <c r="F259" s="8">
        <v>1.54</v>
      </c>
      <c r="G259" s="4">
        <v>67</v>
      </c>
      <c r="H259" s="8">
        <v>3.52</v>
      </c>
      <c r="I259" s="4">
        <v>0</v>
      </c>
    </row>
    <row r="260" spans="1:9" x14ac:dyDescent="0.15">
      <c r="A260" s="2">
        <v>14</v>
      </c>
      <c r="B260" s="1" t="s">
        <v>95</v>
      </c>
      <c r="C260" s="4">
        <v>74</v>
      </c>
      <c r="D260" s="8">
        <v>2.4500000000000002</v>
      </c>
      <c r="E260" s="4">
        <v>5</v>
      </c>
      <c r="F260" s="8">
        <v>0.45</v>
      </c>
      <c r="G260" s="4">
        <v>69</v>
      </c>
      <c r="H260" s="8">
        <v>3.62</v>
      </c>
      <c r="I260" s="4">
        <v>0</v>
      </c>
    </row>
    <row r="261" spans="1:9" x14ac:dyDescent="0.15">
      <c r="A261" s="2">
        <v>15</v>
      </c>
      <c r="B261" s="1" t="s">
        <v>98</v>
      </c>
      <c r="C261" s="4">
        <v>66</v>
      </c>
      <c r="D261" s="8">
        <v>2.19</v>
      </c>
      <c r="E261" s="4">
        <v>12</v>
      </c>
      <c r="F261" s="8">
        <v>1.08</v>
      </c>
      <c r="G261" s="4">
        <v>54</v>
      </c>
      <c r="H261" s="8">
        <v>2.83</v>
      </c>
      <c r="I261" s="4">
        <v>0</v>
      </c>
    </row>
    <row r="262" spans="1:9" x14ac:dyDescent="0.15">
      <c r="A262" s="2">
        <v>16</v>
      </c>
      <c r="B262" s="1" t="s">
        <v>101</v>
      </c>
      <c r="C262" s="4">
        <v>51</v>
      </c>
      <c r="D262" s="8">
        <v>1.69</v>
      </c>
      <c r="E262" s="4">
        <v>19</v>
      </c>
      <c r="F262" s="8">
        <v>1.72</v>
      </c>
      <c r="G262" s="4">
        <v>32</v>
      </c>
      <c r="H262" s="8">
        <v>1.68</v>
      </c>
      <c r="I262" s="4">
        <v>0</v>
      </c>
    </row>
    <row r="263" spans="1:9" x14ac:dyDescent="0.15">
      <c r="A263" s="2">
        <v>17</v>
      </c>
      <c r="B263" s="1" t="s">
        <v>90</v>
      </c>
      <c r="C263" s="4">
        <v>46</v>
      </c>
      <c r="D263" s="8">
        <v>1.53</v>
      </c>
      <c r="E263" s="4">
        <v>5</v>
      </c>
      <c r="F263" s="8">
        <v>0.45</v>
      </c>
      <c r="G263" s="4">
        <v>41</v>
      </c>
      <c r="H263" s="8">
        <v>2.15</v>
      </c>
      <c r="I263" s="4">
        <v>0</v>
      </c>
    </row>
    <row r="264" spans="1:9" x14ac:dyDescent="0.15">
      <c r="A264" s="2">
        <v>18</v>
      </c>
      <c r="B264" s="1" t="s">
        <v>108</v>
      </c>
      <c r="C264" s="4">
        <v>40</v>
      </c>
      <c r="D264" s="8">
        <v>1.33</v>
      </c>
      <c r="E264" s="4">
        <v>1</v>
      </c>
      <c r="F264" s="8">
        <v>0.09</v>
      </c>
      <c r="G264" s="4">
        <v>37</v>
      </c>
      <c r="H264" s="8">
        <v>1.94</v>
      </c>
      <c r="I264" s="4">
        <v>2</v>
      </c>
    </row>
    <row r="265" spans="1:9" x14ac:dyDescent="0.15">
      <c r="A265" s="2">
        <v>19</v>
      </c>
      <c r="B265" s="1" t="s">
        <v>106</v>
      </c>
      <c r="C265" s="4">
        <v>36</v>
      </c>
      <c r="D265" s="8">
        <v>1.19</v>
      </c>
      <c r="E265" s="4">
        <v>1</v>
      </c>
      <c r="F265" s="8">
        <v>0.09</v>
      </c>
      <c r="G265" s="4">
        <v>35</v>
      </c>
      <c r="H265" s="8">
        <v>1.84</v>
      </c>
      <c r="I265" s="4">
        <v>0</v>
      </c>
    </row>
    <row r="266" spans="1:9" x14ac:dyDescent="0.15">
      <c r="A266" s="2">
        <v>20</v>
      </c>
      <c r="B266" s="1" t="s">
        <v>104</v>
      </c>
      <c r="C266" s="4">
        <v>35</v>
      </c>
      <c r="D266" s="8">
        <v>1.1599999999999999</v>
      </c>
      <c r="E266" s="4">
        <v>3</v>
      </c>
      <c r="F266" s="8">
        <v>0.27</v>
      </c>
      <c r="G266" s="4">
        <v>32</v>
      </c>
      <c r="H266" s="8">
        <v>1.68</v>
      </c>
      <c r="I266" s="4">
        <v>0</v>
      </c>
    </row>
    <row r="267" spans="1:9" x14ac:dyDescent="0.15">
      <c r="A267" s="1"/>
      <c r="C267" s="4"/>
      <c r="D267" s="8"/>
      <c r="E267" s="4"/>
      <c r="F267" s="8"/>
      <c r="G267" s="4"/>
      <c r="H267" s="8"/>
      <c r="I267" s="4"/>
    </row>
    <row r="268" spans="1:9" x14ac:dyDescent="0.15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15">
      <c r="A269" s="2">
        <v>1</v>
      </c>
      <c r="B269" s="1" t="s">
        <v>96</v>
      </c>
      <c r="C269" s="4">
        <v>482</v>
      </c>
      <c r="D269" s="8">
        <v>14.95</v>
      </c>
      <c r="E269" s="4">
        <v>282</v>
      </c>
      <c r="F269" s="8">
        <v>19.22</v>
      </c>
      <c r="G269" s="4">
        <v>200</v>
      </c>
      <c r="H269" s="8">
        <v>11.39</v>
      </c>
      <c r="I269" s="4">
        <v>0</v>
      </c>
    </row>
    <row r="270" spans="1:9" x14ac:dyDescent="0.15">
      <c r="A270" s="2">
        <v>2</v>
      </c>
      <c r="B270" s="1" t="s">
        <v>100</v>
      </c>
      <c r="C270" s="4">
        <v>354</v>
      </c>
      <c r="D270" s="8">
        <v>10.98</v>
      </c>
      <c r="E270" s="4">
        <v>265</v>
      </c>
      <c r="F270" s="8">
        <v>18.059999999999999</v>
      </c>
      <c r="G270" s="4">
        <v>89</v>
      </c>
      <c r="H270" s="8">
        <v>5.07</v>
      </c>
      <c r="I270" s="4">
        <v>0</v>
      </c>
    </row>
    <row r="271" spans="1:9" x14ac:dyDescent="0.15">
      <c r="A271" s="2">
        <v>3</v>
      </c>
      <c r="B271" s="1" t="s">
        <v>99</v>
      </c>
      <c r="C271" s="4">
        <v>304</v>
      </c>
      <c r="D271" s="8">
        <v>9.43</v>
      </c>
      <c r="E271" s="4">
        <v>250</v>
      </c>
      <c r="F271" s="8">
        <v>17.04</v>
      </c>
      <c r="G271" s="4">
        <v>54</v>
      </c>
      <c r="H271" s="8">
        <v>3.08</v>
      </c>
      <c r="I271" s="4">
        <v>0</v>
      </c>
    </row>
    <row r="272" spans="1:9" x14ac:dyDescent="0.15">
      <c r="A272" s="2">
        <v>4</v>
      </c>
      <c r="B272" s="1" t="s">
        <v>85</v>
      </c>
      <c r="C272" s="4">
        <v>209</v>
      </c>
      <c r="D272" s="8">
        <v>6.48</v>
      </c>
      <c r="E272" s="4">
        <v>22</v>
      </c>
      <c r="F272" s="8">
        <v>1.5</v>
      </c>
      <c r="G272" s="4">
        <v>187</v>
      </c>
      <c r="H272" s="8">
        <v>10.65</v>
      </c>
      <c r="I272" s="4">
        <v>0</v>
      </c>
    </row>
    <row r="273" spans="1:9" x14ac:dyDescent="0.15">
      <c r="A273" s="2">
        <v>5</v>
      </c>
      <c r="B273" s="1" t="s">
        <v>94</v>
      </c>
      <c r="C273" s="4">
        <v>171</v>
      </c>
      <c r="D273" s="8">
        <v>5.3</v>
      </c>
      <c r="E273" s="4">
        <v>71</v>
      </c>
      <c r="F273" s="8">
        <v>4.84</v>
      </c>
      <c r="G273" s="4">
        <v>100</v>
      </c>
      <c r="H273" s="8">
        <v>5.69</v>
      </c>
      <c r="I273" s="4">
        <v>0</v>
      </c>
    </row>
    <row r="274" spans="1:9" x14ac:dyDescent="0.15">
      <c r="A274" s="2">
        <v>6</v>
      </c>
      <c r="B274" s="1" t="s">
        <v>86</v>
      </c>
      <c r="C274" s="4">
        <v>170</v>
      </c>
      <c r="D274" s="8">
        <v>5.27</v>
      </c>
      <c r="E274" s="4">
        <v>32</v>
      </c>
      <c r="F274" s="8">
        <v>2.1800000000000002</v>
      </c>
      <c r="G274" s="4">
        <v>138</v>
      </c>
      <c r="H274" s="8">
        <v>7.86</v>
      </c>
      <c r="I274" s="4">
        <v>0</v>
      </c>
    </row>
    <row r="275" spans="1:9" x14ac:dyDescent="0.15">
      <c r="A275" s="2">
        <v>7</v>
      </c>
      <c r="B275" s="1" t="s">
        <v>102</v>
      </c>
      <c r="C275" s="4">
        <v>166</v>
      </c>
      <c r="D275" s="8">
        <v>5.15</v>
      </c>
      <c r="E275" s="4">
        <v>112</v>
      </c>
      <c r="F275" s="8">
        <v>7.63</v>
      </c>
      <c r="G275" s="4">
        <v>54</v>
      </c>
      <c r="H275" s="8">
        <v>3.08</v>
      </c>
      <c r="I275" s="4">
        <v>0</v>
      </c>
    </row>
    <row r="276" spans="1:9" x14ac:dyDescent="0.15">
      <c r="A276" s="2">
        <v>8</v>
      </c>
      <c r="B276" s="1" t="s">
        <v>103</v>
      </c>
      <c r="C276" s="4">
        <v>137</v>
      </c>
      <c r="D276" s="8">
        <v>4.25</v>
      </c>
      <c r="E276" s="4">
        <v>118</v>
      </c>
      <c r="F276" s="8">
        <v>8.0399999999999991</v>
      </c>
      <c r="G276" s="4">
        <v>19</v>
      </c>
      <c r="H276" s="8">
        <v>1.08</v>
      </c>
      <c r="I276" s="4">
        <v>0</v>
      </c>
    </row>
    <row r="277" spans="1:9" x14ac:dyDescent="0.15">
      <c r="A277" s="2">
        <v>9</v>
      </c>
      <c r="B277" s="1" t="s">
        <v>87</v>
      </c>
      <c r="C277" s="4">
        <v>133</v>
      </c>
      <c r="D277" s="8">
        <v>4.13</v>
      </c>
      <c r="E277" s="4">
        <v>11</v>
      </c>
      <c r="F277" s="8">
        <v>0.75</v>
      </c>
      <c r="G277" s="4">
        <v>122</v>
      </c>
      <c r="H277" s="8">
        <v>6.95</v>
      </c>
      <c r="I277" s="4">
        <v>0</v>
      </c>
    </row>
    <row r="278" spans="1:9" x14ac:dyDescent="0.15">
      <c r="A278" s="2">
        <v>9</v>
      </c>
      <c r="B278" s="1" t="s">
        <v>92</v>
      </c>
      <c r="C278" s="4">
        <v>133</v>
      </c>
      <c r="D278" s="8">
        <v>4.13</v>
      </c>
      <c r="E278" s="4">
        <v>58</v>
      </c>
      <c r="F278" s="8">
        <v>3.95</v>
      </c>
      <c r="G278" s="4">
        <v>75</v>
      </c>
      <c r="H278" s="8">
        <v>4.2699999999999996</v>
      </c>
      <c r="I278" s="4">
        <v>0</v>
      </c>
    </row>
    <row r="279" spans="1:9" x14ac:dyDescent="0.15">
      <c r="A279" s="2">
        <v>11</v>
      </c>
      <c r="B279" s="1" t="s">
        <v>97</v>
      </c>
      <c r="C279" s="4">
        <v>102</v>
      </c>
      <c r="D279" s="8">
        <v>3.16</v>
      </c>
      <c r="E279" s="4">
        <v>61</v>
      </c>
      <c r="F279" s="8">
        <v>4.16</v>
      </c>
      <c r="G279" s="4">
        <v>41</v>
      </c>
      <c r="H279" s="8">
        <v>2.33</v>
      </c>
      <c r="I279" s="4">
        <v>0</v>
      </c>
    </row>
    <row r="280" spans="1:9" x14ac:dyDescent="0.15">
      <c r="A280" s="2">
        <v>12</v>
      </c>
      <c r="B280" s="1" t="s">
        <v>98</v>
      </c>
      <c r="C280" s="4">
        <v>82</v>
      </c>
      <c r="D280" s="8">
        <v>2.54</v>
      </c>
      <c r="E280" s="4">
        <v>23</v>
      </c>
      <c r="F280" s="8">
        <v>1.57</v>
      </c>
      <c r="G280" s="4">
        <v>59</v>
      </c>
      <c r="H280" s="8">
        <v>3.36</v>
      </c>
      <c r="I280" s="4">
        <v>0</v>
      </c>
    </row>
    <row r="281" spans="1:9" x14ac:dyDescent="0.15">
      <c r="A281" s="2">
        <v>13</v>
      </c>
      <c r="B281" s="1" t="s">
        <v>95</v>
      </c>
      <c r="C281" s="4">
        <v>81</v>
      </c>
      <c r="D281" s="8">
        <v>2.5099999999999998</v>
      </c>
      <c r="E281" s="4">
        <v>6</v>
      </c>
      <c r="F281" s="8">
        <v>0.41</v>
      </c>
      <c r="G281" s="4">
        <v>75</v>
      </c>
      <c r="H281" s="8">
        <v>4.2699999999999996</v>
      </c>
      <c r="I281" s="4">
        <v>0</v>
      </c>
    </row>
    <row r="282" spans="1:9" x14ac:dyDescent="0.15">
      <c r="A282" s="2">
        <v>14</v>
      </c>
      <c r="B282" s="1" t="s">
        <v>91</v>
      </c>
      <c r="C282" s="4">
        <v>76</v>
      </c>
      <c r="D282" s="8">
        <v>2.36</v>
      </c>
      <c r="E282" s="4">
        <v>16</v>
      </c>
      <c r="F282" s="8">
        <v>1.0900000000000001</v>
      </c>
      <c r="G282" s="4">
        <v>60</v>
      </c>
      <c r="H282" s="8">
        <v>3.42</v>
      </c>
      <c r="I282" s="4">
        <v>0</v>
      </c>
    </row>
    <row r="283" spans="1:9" x14ac:dyDescent="0.15">
      <c r="A283" s="2">
        <v>15</v>
      </c>
      <c r="B283" s="1" t="s">
        <v>93</v>
      </c>
      <c r="C283" s="4">
        <v>66</v>
      </c>
      <c r="D283" s="8">
        <v>2.0499999999999998</v>
      </c>
      <c r="E283" s="4">
        <v>23</v>
      </c>
      <c r="F283" s="8">
        <v>1.57</v>
      </c>
      <c r="G283" s="4">
        <v>43</v>
      </c>
      <c r="H283" s="8">
        <v>2.4500000000000002</v>
      </c>
      <c r="I283" s="4">
        <v>0</v>
      </c>
    </row>
    <row r="284" spans="1:9" x14ac:dyDescent="0.15">
      <c r="A284" s="2">
        <v>16</v>
      </c>
      <c r="B284" s="1" t="s">
        <v>101</v>
      </c>
      <c r="C284" s="4">
        <v>41</v>
      </c>
      <c r="D284" s="8">
        <v>1.27</v>
      </c>
      <c r="E284" s="4">
        <v>11</v>
      </c>
      <c r="F284" s="8">
        <v>0.75</v>
      </c>
      <c r="G284" s="4">
        <v>30</v>
      </c>
      <c r="H284" s="8">
        <v>1.71</v>
      </c>
      <c r="I284" s="4">
        <v>0</v>
      </c>
    </row>
    <row r="285" spans="1:9" x14ac:dyDescent="0.15">
      <c r="A285" s="2">
        <v>17</v>
      </c>
      <c r="B285" s="1" t="s">
        <v>115</v>
      </c>
      <c r="C285" s="4">
        <v>36</v>
      </c>
      <c r="D285" s="8">
        <v>1.1200000000000001</v>
      </c>
      <c r="E285" s="4">
        <v>4</v>
      </c>
      <c r="F285" s="8">
        <v>0.27</v>
      </c>
      <c r="G285" s="4">
        <v>32</v>
      </c>
      <c r="H285" s="8">
        <v>1.82</v>
      </c>
      <c r="I285" s="4">
        <v>0</v>
      </c>
    </row>
    <row r="286" spans="1:9" x14ac:dyDescent="0.15">
      <c r="A286" s="2">
        <v>18</v>
      </c>
      <c r="B286" s="1" t="s">
        <v>108</v>
      </c>
      <c r="C286" s="4">
        <v>34</v>
      </c>
      <c r="D286" s="8">
        <v>1.05</v>
      </c>
      <c r="E286" s="4">
        <v>1</v>
      </c>
      <c r="F286" s="8">
        <v>7.0000000000000007E-2</v>
      </c>
      <c r="G286" s="4">
        <v>32</v>
      </c>
      <c r="H286" s="8">
        <v>1.82</v>
      </c>
      <c r="I286" s="4">
        <v>1</v>
      </c>
    </row>
    <row r="287" spans="1:9" x14ac:dyDescent="0.15">
      <c r="A287" s="2">
        <v>19</v>
      </c>
      <c r="B287" s="1" t="s">
        <v>104</v>
      </c>
      <c r="C287" s="4">
        <v>33</v>
      </c>
      <c r="D287" s="8">
        <v>1.02</v>
      </c>
      <c r="E287" s="4">
        <v>3</v>
      </c>
      <c r="F287" s="8">
        <v>0.2</v>
      </c>
      <c r="G287" s="4">
        <v>30</v>
      </c>
      <c r="H287" s="8">
        <v>1.71</v>
      </c>
      <c r="I287" s="4">
        <v>0</v>
      </c>
    </row>
    <row r="288" spans="1:9" x14ac:dyDescent="0.15">
      <c r="A288" s="2">
        <v>20</v>
      </c>
      <c r="B288" s="1" t="s">
        <v>114</v>
      </c>
      <c r="C288" s="4">
        <v>27</v>
      </c>
      <c r="D288" s="8">
        <v>0.84</v>
      </c>
      <c r="E288" s="4">
        <v>26</v>
      </c>
      <c r="F288" s="8">
        <v>1.77</v>
      </c>
      <c r="G288" s="4">
        <v>1</v>
      </c>
      <c r="H288" s="8">
        <v>0.06</v>
      </c>
      <c r="I288" s="4">
        <v>0</v>
      </c>
    </row>
    <row r="289" spans="1:9" x14ac:dyDescent="0.15">
      <c r="A289" s="2">
        <v>20</v>
      </c>
      <c r="B289" s="1" t="s">
        <v>116</v>
      </c>
      <c r="C289" s="4">
        <v>27</v>
      </c>
      <c r="D289" s="8">
        <v>0.84</v>
      </c>
      <c r="E289" s="4">
        <v>13</v>
      </c>
      <c r="F289" s="8">
        <v>0.89</v>
      </c>
      <c r="G289" s="4">
        <v>14</v>
      </c>
      <c r="H289" s="8">
        <v>0.8</v>
      </c>
      <c r="I289" s="4">
        <v>0</v>
      </c>
    </row>
    <row r="290" spans="1:9" x14ac:dyDescent="0.15">
      <c r="A290" s="1"/>
      <c r="C290" s="4"/>
      <c r="D290" s="8"/>
      <c r="E290" s="4"/>
      <c r="F290" s="8"/>
      <c r="G290" s="4"/>
      <c r="H290" s="8"/>
      <c r="I290" s="4"/>
    </row>
    <row r="291" spans="1:9" x14ac:dyDescent="0.15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15">
      <c r="A292" s="2">
        <v>1</v>
      </c>
      <c r="B292" s="1" t="s">
        <v>100</v>
      </c>
      <c r="C292" s="4">
        <v>296</v>
      </c>
      <c r="D292" s="8">
        <v>10.050000000000001</v>
      </c>
      <c r="E292" s="4">
        <v>228</v>
      </c>
      <c r="F292" s="8">
        <v>18.399999999999999</v>
      </c>
      <c r="G292" s="4">
        <v>68</v>
      </c>
      <c r="H292" s="8">
        <v>4</v>
      </c>
      <c r="I292" s="4">
        <v>0</v>
      </c>
    </row>
    <row r="293" spans="1:9" x14ac:dyDescent="0.15">
      <c r="A293" s="2">
        <v>2</v>
      </c>
      <c r="B293" s="1" t="s">
        <v>99</v>
      </c>
      <c r="C293" s="4">
        <v>263</v>
      </c>
      <c r="D293" s="8">
        <v>8.93</v>
      </c>
      <c r="E293" s="4">
        <v>230</v>
      </c>
      <c r="F293" s="8">
        <v>18.559999999999999</v>
      </c>
      <c r="G293" s="4">
        <v>33</v>
      </c>
      <c r="H293" s="8">
        <v>1.94</v>
      </c>
      <c r="I293" s="4">
        <v>0</v>
      </c>
    </row>
    <row r="294" spans="1:9" x14ac:dyDescent="0.15">
      <c r="A294" s="2">
        <v>3</v>
      </c>
      <c r="B294" s="1" t="s">
        <v>96</v>
      </c>
      <c r="C294" s="4">
        <v>234</v>
      </c>
      <c r="D294" s="8">
        <v>7.94</v>
      </c>
      <c r="E294" s="4">
        <v>126</v>
      </c>
      <c r="F294" s="8">
        <v>10.17</v>
      </c>
      <c r="G294" s="4">
        <v>101</v>
      </c>
      <c r="H294" s="8">
        <v>5.95</v>
      </c>
      <c r="I294" s="4">
        <v>7</v>
      </c>
    </row>
    <row r="295" spans="1:9" x14ac:dyDescent="0.15">
      <c r="A295" s="2">
        <v>4</v>
      </c>
      <c r="B295" s="1" t="s">
        <v>86</v>
      </c>
      <c r="C295" s="4">
        <v>215</v>
      </c>
      <c r="D295" s="8">
        <v>7.3</v>
      </c>
      <c r="E295" s="4">
        <v>38</v>
      </c>
      <c r="F295" s="8">
        <v>3.07</v>
      </c>
      <c r="G295" s="4">
        <v>177</v>
      </c>
      <c r="H295" s="8">
        <v>10.42</v>
      </c>
      <c r="I295" s="4">
        <v>0</v>
      </c>
    </row>
    <row r="296" spans="1:9" x14ac:dyDescent="0.15">
      <c r="A296" s="2">
        <v>5</v>
      </c>
      <c r="B296" s="1" t="s">
        <v>85</v>
      </c>
      <c r="C296" s="4">
        <v>203</v>
      </c>
      <c r="D296" s="8">
        <v>6.89</v>
      </c>
      <c r="E296" s="4">
        <v>23</v>
      </c>
      <c r="F296" s="8">
        <v>1.86</v>
      </c>
      <c r="G296" s="4">
        <v>180</v>
      </c>
      <c r="H296" s="8">
        <v>10.6</v>
      </c>
      <c r="I296" s="4">
        <v>0</v>
      </c>
    </row>
    <row r="297" spans="1:9" x14ac:dyDescent="0.15">
      <c r="A297" s="2">
        <v>6</v>
      </c>
      <c r="B297" s="1" t="s">
        <v>87</v>
      </c>
      <c r="C297" s="4">
        <v>171</v>
      </c>
      <c r="D297" s="8">
        <v>5.8</v>
      </c>
      <c r="E297" s="4">
        <v>13</v>
      </c>
      <c r="F297" s="8">
        <v>1.05</v>
      </c>
      <c r="G297" s="4">
        <v>158</v>
      </c>
      <c r="H297" s="8">
        <v>9.31</v>
      </c>
      <c r="I297" s="4">
        <v>0</v>
      </c>
    </row>
    <row r="298" spans="1:9" x14ac:dyDescent="0.15">
      <c r="A298" s="2">
        <v>7</v>
      </c>
      <c r="B298" s="1" t="s">
        <v>94</v>
      </c>
      <c r="C298" s="4">
        <v>154</v>
      </c>
      <c r="D298" s="8">
        <v>5.23</v>
      </c>
      <c r="E298" s="4">
        <v>63</v>
      </c>
      <c r="F298" s="8">
        <v>5.08</v>
      </c>
      <c r="G298" s="4">
        <v>91</v>
      </c>
      <c r="H298" s="8">
        <v>5.36</v>
      </c>
      <c r="I298" s="4">
        <v>0</v>
      </c>
    </row>
    <row r="299" spans="1:9" x14ac:dyDescent="0.15">
      <c r="A299" s="2">
        <v>8</v>
      </c>
      <c r="B299" s="1" t="s">
        <v>92</v>
      </c>
      <c r="C299" s="4">
        <v>137</v>
      </c>
      <c r="D299" s="8">
        <v>4.6500000000000004</v>
      </c>
      <c r="E299" s="4">
        <v>80</v>
      </c>
      <c r="F299" s="8">
        <v>6.46</v>
      </c>
      <c r="G299" s="4">
        <v>57</v>
      </c>
      <c r="H299" s="8">
        <v>3.36</v>
      </c>
      <c r="I299" s="4">
        <v>0</v>
      </c>
    </row>
    <row r="300" spans="1:9" x14ac:dyDescent="0.15">
      <c r="A300" s="2">
        <v>9</v>
      </c>
      <c r="B300" s="1" t="s">
        <v>102</v>
      </c>
      <c r="C300" s="4">
        <v>130</v>
      </c>
      <c r="D300" s="8">
        <v>4.41</v>
      </c>
      <c r="E300" s="4">
        <v>87</v>
      </c>
      <c r="F300" s="8">
        <v>7.02</v>
      </c>
      <c r="G300" s="4">
        <v>43</v>
      </c>
      <c r="H300" s="8">
        <v>2.5299999999999998</v>
      </c>
      <c r="I300" s="4">
        <v>0</v>
      </c>
    </row>
    <row r="301" spans="1:9" x14ac:dyDescent="0.15">
      <c r="A301" s="2">
        <v>10</v>
      </c>
      <c r="B301" s="1" t="s">
        <v>103</v>
      </c>
      <c r="C301" s="4">
        <v>121</v>
      </c>
      <c r="D301" s="8">
        <v>4.1100000000000003</v>
      </c>
      <c r="E301" s="4">
        <v>102</v>
      </c>
      <c r="F301" s="8">
        <v>8.23</v>
      </c>
      <c r="G301" s="4">
        <v>19</v>
      </c>
      <c r="H301" s="8">
        <v>1.1200000000000001</v>
      </c>
      <c r="I301" s="4">
        <v>0</v>
      </c>
    </row>
    <row r="302" spans="1:9" x14ac:dyDescent="0.15">
      <c r="A302" s="2">
        <v>11</v>
      </c>
      <c r="B302" s="1" t="s">
        <v>93</v>
      </c>
      <c r="C302" s="4">
        <v>92</v>
      </c>
      <c r="D302" s="8">
        <v>3.12</v>
      </c>
      <c r="E302" s="4">
        <v>28</v>
      </c>
      <c r="F302" s="8">
        <v>2.2599999999999998</v>
      </c>
      <c r="G302" s="4">
        <v>64</v>
      </c>
      <c r="H302" s="8">
        <v>3.77</v>
      </c>
      <c r="I302" s="4">
        <v>0</v>
      </c>
    </row>
    <row r="303" spans="1:9" x14ac:dyDescent="0.15">
      <c r="A303" s="2">
        <v>12</v>
      </c>
      <c r="B303" s="1" t="s">
        <v>98</v>
      </c>
      <c r="C303" s="4">
        <v>87</v>
      </c>
      <c r="D303" s="8">
        <v>2.95</v>
      </c>
      <c r="E303" s="4">
        <v>28</v>
      </c>
      <c r="F303" s="8">
        <v>2.2599999999999998</v>
      </c>
      <c r="G303" s="4">
        <v>59</v>
      </c>
      <c r="H303" s="8">
        <v>3.47</v>
      </c>
      <c r="I303" s="4">
        <v>0</v>
      </c>
    </row>
    <row r="304" spans="1:9" x14ac:dyDescent="0.15">
      <c r="A304" s="2">
        <v>13</v>
      </c>
      <c r="B304" s="1" t="s">
        <v>97</v>
      </c>
      <c r="C304" s="4">
        <v>76</v>
      </c>
      <c r="D304" s="8">
        <v>2.58</v>
      </c>
      <c r="E304" s="4">
        <v>41</v>
      </c>
      <c r="F304" s="8">
        <v>3.31</v>
      </c>
      <c r="G304" s="4">
        <v>35</v>
      </c>
      <c r="H304" s="8">
        <v>2.06</v>
      </c>
      <c r="I304" s="4">
        <v>0</v>
      </c>
    </row>
    <row r="305" spans="1:9" x14ac:dyDescent="0.15">
      <c r="A305" s="2">
        <v>14</v>
      </c>
      <c r="B305" s="1" t="s">
        <v>91</v>
      </c>
      <c r="C305" s="4">
        <v>61</v>
      </c>
      <c r="D305" s="8">
        <v>2.0699999999999998</v>
      </c>
      <c r="E305" s="4">
        <v>33</v>
      </c>
      <c r="F305" s="8">
        <v>2.66</v>
      </c>
      <c r="G305" s="4">
        <v>28</v>
      </c>
      <c r="H305" s="8">
        <v>1.65</v>
      </c>
      <c r="I305" s="4">
        <v>0</v>
      </c>
    </row>
    <row r="306" spans="1:9" x14ac:dyDescent="0.15">
      <c r="A306" s="2">
        <v>15</v>
      </c>
      <c r="B306" s="1" t="s">
        <v>90</v>
      </c>
      <c r="C306" s="4">
        <v>57</v>
      </c>
      <c r="D306" s="8">
        <v>1.93</v>
      </c>
      <c r="E306" s="4">
        <v>1</v>
      </c>
      <c r="F306" s="8">
        <v>0.08</v>
      </c>
      <c r="G306" s="4">
        <v>56</v>
      </c>
      <c r="H306" s="8">
        <v>3.3</v>
      </c>
      <c r="I306" s="4">
        <v>0</v>
      </c>
    </row>
    <row r="307" spans="1:9" x14ac:dyDescent="0.15">
      <c r="A307" s="2">
        <v>16</v>
      </c>
      <c r="B307" s="1" t="s">
        <v>95</v>
      </c>
      <c r="C307" s="4">
        <v>52</v>
      </c>
      <c r="D307" s="8">
        <v>1.77</v>
      </c>
      <c r="E307" s="4">
        <v>3</v>
      </c>
      <c r="F307" s="8">
        <v>0.24</v>
      </c>
      <c r="G307" s="4">
        <v>49</v>
      </c>
      <c r="H307" s="8">
        <v>2.89</v>
      </c>
      <c r="I307" s="4">
        <v>0</v>
      </c>
    </row>
    <row r="308" spans="1:9" x14ac:dyDescent="0.15">
      <c r="A308" s="2">
        <v>17</v>
      </c>
      <c r="B308" s="1" t="s">
        <v>108</v>
      </c>
      <c r="C308" s="4">
        <v>36</v>
      </c>
      <c r="D308" s="8">
        <v>1.22</v>
      </c>
      <c r="E308" s="4">
        <v>0</v>
      </c>
      <c r="F308" s="8">
        <v>0</v>
      </c>
      <c r="G308" s="4">
        <v>35</v>
      </c>
      <c r="H308" s="8">
        <v>2.06</v>
      </c>
      <c r="I308" s="4">
        <v>1</v>
      </c>
    </row>
    <row r="309" spans="1:9" x14ac:dyDescent="0.15">
      <c r="A309" s="2">
        <v>18</v>
      </c>
      <c r="B309" s="1" t="s">
        <v>101</v>
      </c>
      <c r="C309" s="4">
        <v>35</v>
      </c>
      <c r="D309" s="8">
        <v>1.19</v>
      </c>
      <c r="E309" s="4">
        <v>11</v>
      </c>
      <c r="F309" s="8">
        <v>0.89</v>
      </c>
      <c r="G309" s="4">
        <v>24</v>
      </c>
      <c r="H309" s="8">
        <v>1.41</v>
      </c>
      <c r="I309" s="4">
        <v>0</v>
      </c>
    </row>
    <row r="310" spans="1:9" x14ac:dyDescent="0.15">
      <c r="A310" s="2">
        <v>18</v>
      </c>
      <c r="B310" s="1" t="s">
        <v>117</v>
      </c>
      <c r="C310" s="4">
        <v>35</v>
      </c>
      <c r="D310" s="8">
        <v>1.19</v>
      </c>
      <c r="E310" s="4">
        <v>18</v>
      </c>
      <c r="F310" s="8">
        <v>1.45</v>
      </c>
      <c r="G310" s="4">
        <v>17</v>
      </c>
      <c r="H310" s="8">
        <v>1</v>
      </c>
      <c r="I310" s="4">
        <v>0</v>
      </c>
    </row>
    <row r="311" spans="1:9" x14ac:dyDescent="0.15">
      <c r="A311" s="2">
        <v>20</v>
      </c>
      <c r="B311" s="1" t="s">
        <v>104</v>
      </c>
      <c r="C311" s="4">
        <v>33</v>
      </c>
      <c r="D311" s="8">
        <v>1.1200000000000001</v>
      </c>
      <c r="E311" s="4">
        <v>3</v>
      </c>
      <c r="F311" s="8">
        <v>0.24</v>
      </c>
      <c r="G311" s="4">
        <v>30</v>
      </c>
      <c r="H311" s="8">
        <v>1.77</v>
      </c>
      <c r="I311" s="4">
        <v>0</v>
      </c>
    </row>
    <row r="312" spans="1:9" x14ac:dyDescent="0.15">
      <c r="A312" s="1"/>
      <c r="C312" s="4"/>
      <c r="D312" s="8"/>
      <c r="E312" s="4"/>
      <c r="F312" s="8"/>
      <c r="G312" s="4"/>
      <c r="H312" s="8"/>
      <c r="I312" s="4"/>
    </row>
    <row r="313" spans="1:9" x14ac:dyDescent="0.15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15">
      <c r="A314" s="2">
        <v>1</v>
      </c>
      <c r="B314" s="1" t="s">
        <v>100</v>
      </c>
      <c r="C314" s="4">
        <v>186</v>
      </c>
      <c r="D314" s="8">
        <v>9.6</v>
      </c>
      <c r="E314" s="4">
        <v>130</v>
      </c>
      <c r="F314" s="8">
        <v>18.57</v>
      </c>
      <c r="G314" s="4">
        <v>56</v>
      </c>
      <c r="H314" s="8">
        <v>4.54</v>
      </c>
      <c r="I314" s="4">
        <v>0</v>
      </c>
    </row>
    <row r="315" spans="1:9" x14ac:dyDescent="0.15">
      <c r="A315" s="2">
        <v>2</v>
      </c>
      <c r="B315" s="1" t="s">
        <v>99</v>
      </c>
      <c r="C315" s="4">
        <v>175</v>
      </c>
      <c r="D315" s="8">
        <v>9.0299999999999994</v>
      </c>
      <c r="E315" s="4">
        <v>133</v>
      </c>
      <c r="F315" s="8">
        <v>19</v>
      </c>
      <c r="G315" s="4">
        <v>41</v>
      </c>
      <c r="H315" s="8">
        <v>3.32</v>
      </c>
      <c r="I315" s="4">
        <v>1</v>
      </c>
    </row>
    <row r="316" spans="1:9" x14ac:dyDescent="0.15">
      <c r="A316" s="2">
        <v>3</v>
      </c>
      <c r="B316" s="1" t="s">
        <v>96</v>
      </c>
      <c r="C316" s="4">
        <v>161</v>
      </c>
      <c r="D316" s="8">
        <v>8.31</v>
      </c>
      <c r="E316" s="4">
        <v>29</v>
      </c>
      <c r="F316" s="8">
        <v>4.1399999999999997</v>
      </c>
      <c r="G316" s="4">
        <v>132</v>
      </c>
      <c r="H316" s="8">
        <v>10.7</v>
      </c>
      <c r="I316" s="4">
        <v>0</v>
      </c>
    </row>
    <row r="317" spans="1:9" x14ac:dyDescent="0.15">
      <c r="A317" s="2">
        <v>4</v>
      </c>
      <c r="B317" s="1" t="s">
        <v>85</v>
      </c>
      <c r="C317" s="4">
        <v>121</v>
      </c>
      <c r="D317" s="8">
        <v>6.25</v>
      </c>
      <c r="E317" s="4">
        <v>18</v>
      </c>
      <c r="F317" s="8">
        <v>2.57</v>
      </c>
      <c r="G317" s="4">
        <v>103</v>
      </c>
      <c r="H317" s="8">
        <v>8.35</v>
      </c>
      <c r="I317" s="4">
        <v>0</v>
      </c>
    </row>
    <row r="318" spans="1:9" x14ac:dyDescent="0.15">
      <c r="A318" s="2">
        <v>5</v>
      </c>
      <c r="B318" s="1" t="s">
        <v>86</v>
      </c>
      <c r="C318" s="4">
        <v>108</v>
      </c>
      <c r="D318" s="8">
        <v>5.58</v>
      </c>
      <c r="E318" s="4">
        <v>21</v>
      </c>
      <c r="F318" s="8">
        <v>3</v>
      </c>
      <c r="G318" s="4">
        <v>87</v>
      </c>
      <c r="H318" s="8">
        <v>7.05</v>
      </c>
      <c r="I318" s="4">
        <v>0</v>
      </c>
    </row>
    <row r="319" spans="1:9" x14ac:dyDescent="0.15">
      <c r="A319" s="2">
        <v>6</v>
      </c>
      <c r="B319" s="1" t="s">
        <v>94</v>
      </c>
      <c r="C319" s="4">
        <v>106</v>
      </c>
      <c r="D319" s="8">
        <v>5.47</v>
      </c>
      <c r="E319" s="4">
        <v>40</v>
      </c>
      <c r="F319" s="8">
        <v>5.71</v>
      </c>
      <c r="G319" s="4">
        <v>66</v>
      </c>
      <c r="H319" s="8">
        <v>5.35</v>
      </c>
      <c r="I319" s="4">
        <v>0</v>
      </c>
    </row>
    <row r="320" spans="1:9" x14ac:dyDescent="0.15">
      <c r="A320" s="2">
        <v>7</v>
      </c>
      <c r="B320" s="1" t="s">
        <v>87</v>
      </c>
      <c r="C320" s="4">
        <v>99</v>
      </c>
      <c r="D320" s="8">
        <v>5.1100000000000003</v>
      </c>
      <c r="E320" s="4">
        <v>10</v>
      </c>
      <c r="F320" s="8">
        <v>1.43</v>
      </c>
      <c r="G320" s="4">
        <v>89</v>
      </c>
      <c r="H320" s="8">
        <v>7.21</v>
      </c>
      <c r="I320" s="4">
        <v>0</v>
      </c>
    </row>
    <row r="321" spans="1:9" x14ac:dyDescent="0.15">
      <c r="A321" s="2">
        <v>8</v>
      </c>
      <c r="B321" s="1" t="s">
        <v>103</v>
      </c>
      <c r="C321" s="4">
        <v>92</v>
      </c>
      <c r="D321" s="8">
        <v>4.75</v>
      </c>
      <c r="E321" s="4">
        <v>76</v>
      </c>
      <c r="F321" s="8">
        <v>10.86</v>
      </c>
      <c r="G321" s="4">
        <v>16</v>
      </c>
      <c r="H321" s="8">
        <v>1.3</v>
      </c>
      <c r="I321" s="4">
        <v>0</v>
      </c>
    </row>
    <row r="322" spans="1:9" x14ac:dyDescent="0.15">
      <c r="A322" s="2">
        <v>9</v>
      </c>
      <c r="B322" s="1" t="s">
        <v>92</v>
      </c>
      <c r="C322" s="4">
        <v>84</v>
      </c>
      <c r="D322" s="8">
        <v>4.34</v>
      </c>
      <c r="E322" s="4">
        <v>43</v>
      </c>
      <c r="F322" s="8">
        <v>6.14</v>
      </c>
      <c r="G322" s="4">
        <v>41</v>
      </c>
      <c r="H322" s="8">
        <v>3.32</v>
      </c>
      <c r="I322" s="4">
        <v>0</v>
      </c>
    </row>
    <row r="323" spans="1:9" x14ac:dyDescent="0.15">
      <c r="A323" s="2">
        <v>10</v>
      </c>
      <c r="B323" s="1" t="s">
        <v>102</v>
      </c>
      <c r="C323" s="4">
        <v>82</v>
      </c>
      <c r="D323" s="8">
        <v>4.2300000000000004</v>
      </c>
      <c r="E323" s="4">
        <v>50</v>
      </c>
      <c r="F323" s="8">
        <v>7.14</v>
      </c>
      <c r="G323" s="4">
        <v>32</v>
      </c>
      <c r="H323" s="8">
        <v>2.59</v>
      </c>
      <c r="I323" s="4">
        <v>0</v>
      </c>
    </row>
    <row r="324" spans="1:9" x14ac:dyDescent="0.15">
      <c r="A324" s="2">
        <v>11</v>
      </c>
      <c r="B324" s="1" t="s">
        <v>97</v>
      </c>
      <c r="C324" s="4">
        <v>56</v>
      </c>
      <c r="D324" s="8">
        <v>2.89</v>
      </c>
      <c r="E324" s="4">
        <v>33</v>
      </c>
      <c r="F324" s="8">
        <v>4.71</v>
      </c>
      <c r="G324" s="4">
        <v>23</v>
      </c>
      <c r="H324" s="8">
        <v>1.86</v>
      </c>
      <c r="I324" s="4">
        <v>0</v>
      </c>
    </row>
    <row r="325" spans="1:9" x14ac:dyDescent="0.15">
      <c r="A325" s="2">
        <v>12</v>
      </c>
      <c r="B325" s="1" t="s">
        <v>98</v>
      </c>
      <c r="C325" s="4">
        <v>55</v>
      </c>
      <c r="D325" s="8">
        <v>2.84</v>
      </c>
      <c r="E325" s="4">
        <v>15</v>
      </c>
      <c r="F325" s="8">
        <v>2.14</v>
      </c>
      <c r="G325" s="4">
        <v>40</v>
      </c>
      <c r="H325" s="8">
        <v>3.24</v>
      </c>
      <c r="I325" s="4">
        <v>0</v>
      </c>
    </row>
    <row r="326" spans="1:9" x14ac:dyDescent="0.15">
      <c r="A326" s="2">
        <v>13</v>
      </c>
      <c r="B326" s="1" t="s">
        <v>90</v>
      </c>
      <c r="C326" s="4">
        <v>49</v>
      </c>
      <c r="D326" s="8">
        <v>2.5299999999999998</v>
      </c>
      <c r="E326" s="4">
        <v>1</v>
      </c>
      <c r="F326" s="8">
        <v>0.14000000000000001</v>
      </c>
      <c r="G326" s="4">
        <v>48</v>
      </c>
      <c r="H326" s="8">
        <v>3.89</v>
      </c>
      <c r="I326" s="4">
        <v>0</v>
      </c>
    </row>
    <row r="327" spans="1:9" x14ac:dyDescent="0.15">
      <c r="A327" s="2">
        <v>13</v>
      </c>
      <c r="B327" s="1" t="s">
        <v>93</v>
      </c>
      <c r="C327" s="4">
        <v>49</v>
      </c>
      <c r="D327" s="8">
        <v>2.5299999999999998</v>
      </c>
      <c r="E327" s="4">
        <v>15</v>
      </c>
      <c r="F327" s="8">
        <v>2.14</v>
      </c>
      <c r="G327" s="4">
        <v>34</v>
      </c>
      <c r="H327" s="8">
        <v>2.76</v>
      </c>
      <c r="I327" s="4">
        <v>0</v>
      </c>
    </row>
    <row r="328" spans="1:9" x14ac:dyDescent="0.15">
      <c r="A328" s="2">
        <v>15</v>
      </c>
      <c r="B328" s="1" t="s">
        <v>91</v>
      </c>
      <c r="C328" s="4">
        <v>38</v>
      </c>
      <c r="D328" s="8">
        <v>1.96</v>
      </c>
      <c r="E328" s="4">
        <v>14</v>
      </c>
      <c r="F328" s="8">
        <v>2</v>
      </c>
      <c r="G328" s="4">
        <v>24</v>
      </c>
      <c r="H328" s="8">
        <v>1.94</v>
      </c>
      <c r="I328" s="4">
        <v>0</v>
      </c>
    </row>
    <row r="329" spans="1:9" x14ac:dyDescent="0.15">
      <c r="A329" s="2">
        <v>16</v>
      </c>
      <c r="B329" s="1" t="s">
        <v>95</v>
      </c>
      <c r="C329" s="4">
        <v>35</v>
      </c>
      <c r="D329" s="8">
        <v>1.81</v>
      </c>
      <c r="E329" s="4">
        <v>3</v>
      </c>
      <c r="F329" s="8">
        <v>0.43</v>
      </c>
      <c r="G329" s="4">
        <v>32</v>
      </c>
      <c r="H329" s="8">
        <v>2.59</v>
      </c>
      <c r="I329" s="4">
        <v>0</v>
      </c>
    </row>
    <row r="330" spans="1:9" x14ac:dyDescent="0.15">
      <c r="A330" s="2">
        <v>17</v>
      </c>
      <c r="B330" s="1" t="s">
        <v>105</v>
      </c>
      <c r="C330" s="4">
        <v>30</v>
      </c>
      <c r="D330" s="8">
        <v>1.55</v>
      </c>
      <c r="E330" s="4">
        <v>4</v>
      </c>
      <c r="F330" s="8">
        <v>0.56999999999999995</v>
      </c>
      <c r="G330" s="4">
        <v>25</v>
      </c>
      <c r="H330" s="8">
        <v>2.0299999999999998</v>
      </c>
      <c r="I330" s="4">
        <v>1</v>
      </c>
    </row>
    <row r="331" spans="1:9" x14ac:dyDescent="0.15">
      <c r="A331" s="2">
        <v>17</v>
      </c>
      <c r="B331" s="1" t="s">
        <v>104</v>
      </c>
      <c r="C331" s="4">
        <v>30</v>
      </c>
      <c r="D331" s="8">
        <v>1.55</v>
      </c>
      <c r="E331" s="4">
        <v>2</v>
      </c>
      <c r="F331" s="8">
        <v>0.28999999999999998</v>
      </c>
      <c r="G331" s="4">
        <v>28</v>
      </c>
      <c r="H331" s="8">
        <v>2.27</v>
      </c>
      <c r="I331" s="4">
        <v>0</v>
      </c>
    </row>
    <row r="332" spans="1:9" x14ac:dyDescent="0.15">
      <c r="A332" s="2">
        <v>19</v>
      </c>
      <c r="B332" s="1" t="s">
        <v>106</v>
      </c>
      <c r="C332" s="4">
        <v>27</v>
      </c>
      <c r="D332" s="8">
        <v>1.39</v>
      </c>
      <c r="E332" s="4">
        <v>3</v>
      </c>
      <c r="F332" s="8">
        <v>0.43</v>
      </c>
      <c r="G332" s="4">
        <v>24</v>
      </c>
      <c r="H332" s="8">
        <v>1.94</v>
      </c>
      <c r="I332" s="4">
        <v>0</v>
      </c>
    </row>
    <row r="333" spans="1:9" x14ac:dyDescent="0.15">
      <c r="A333" s="2">
        <v>20</v>
      </c>
      <c r="B333" s="1" t="s">
        <v>101</v>
      </c>
      <c r="C333" s="4">
        <v>22</v>
      </c>
      <c r="D333" s="8">
        <v>1.1399999999999999</v>
      </c>
      <c r="E333" s="4">
        <v>7</v>
      </c>
      <c r="F333" s="8">
        <v>1</v>
      </c>
      <c r="G333" s="4">
        <v>15</v>
      </c>
      <c r="H333" s="8">
        <v>1.22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96</v>
      </c>
      <c r="C336" s="4">
        <v>195</v>
      </c>
      <c r="D336" s="8">
        <v>10.27</v>
      </c>
      <c r="E336" s="4">
        <v>117</v>
      </c>
      <c r="F336" s="8">
        <v>13.04</v>
      </c>
      <c r="G336" s="4">
        <v>78</v>
      </c>
      <c r="H336" s="8">
        <v>7.79</v>
      </c>
      <c r="I336" s="4">
        <v>0</v>
      </c>
    </row>
    <row r="337" spans="1:9" x14ac:dyDescent="0.15">
      <c r="A337" s="2">
        <v>2</v>
      </c>
      <c r="B337" s="1" t="s">
        <v>100</v>
      </c>
      <c r="C337" s="4">
        <v>194</v>
      </c>
      <c r="D337" s="8">
        <v>10.220000000000001</v>
      </c>
      <c r="E337" s="4">
        <v>163</v>
      </c>
      <c r="F337" s="8">
        <v>18.170000000000002</v>
      </c>
      <c r="G337" s="4">
        <v>31</v>
      </c>
      <c r="H337" s="8">
        <v>3.1</v>
      </c>
      <c r="I337" s="4">
        <v>0</v>
      </c>
    </row>
    <row r="338" spans="1:9" x14ac:dyDescent="0.15">
      <c r="A338" s="2">
        <v>3</v>
      </c>
      <c r="B338" s="1" t="s">
        <v>99</v>
      </c>
      <c r="C338" s="4">
        <v>176</v>
      </c>
      <c r="D338" s="8">
        <v>9.27</v>
      </c>
      <c r="E338" s="4">
        <v>152</v>
      </c>
      <c r="F338" s="8">
        <v>16.95</v>
      </c>
      <c r="G338" s="4">
        <v>24</v>
      </c>
      <c r="H338" s="8">
        <v>2.4</v>
      </c>
      <c r="I338" s="4">
        <v>0</v>
      </c>
    </row>
    <row r="339" spans="1:9" x14ac:dyDescent="0.15">
      <c r="A339" s="2">
        <v>4</v>
      </c>
      <c r="B339" s="1" t="s">
        <v>86</v>
      </c>
      <c r="C339" s="4">
        <v>156</v>
      </c>
      <c r="D339" s="8">
        <v>8.2100000000000009</v>
      </c>
      <c r="E339" s="4">
        <v>35</v>
      </c>
      <c r="F339" s="8">
        <v>3.9</v>
      </c>
      <c r="G339" s="4">
        <v>121</v>
      </c>
      <c r="H339" s="8">
        <v>12.09</v>
      </c>
      <c r="I339" s="4">
        <v>0</v>
      </c>
    </row>
    <row r="340" spans="1:9" x14ac:dyDescent="0.15">
      <c r="A340" s="2">
        <v>5</v>
      </c>
      <c r="B340" s="1" t="s">
        <v>85</v>
      </c>
      <c r="C340" s="4">
        <v>132</v>
      </c>
      <c r="D340" s="8">
        <v>6.95</v>
      </c>
      <c r="E340" s="4">
        <v>20</v>
      </c>
      <c r="F340" s="8">
        <v>2.23</v>
      </c>
      <c r="G340" s="4">
        <v>112</v>
      </c>
      <c r="H340" s="8">
        <v>11.19</v>
      </c>
      <c r="I340" s="4">
        <v>0</v>
      </c>
    </row>
    <row r="341" spans="1:9" x14ac:dyDescent="0.15">
      <c r="A341" s="2">
        <v>6</v>
      </c>
      <c r="B341" s="1" t="s">
        <v>87</v>
      </c>
      <c r="C341" s="4">
        <v>112</v>
      </c>
      <c r="D341" s="8">
        <v>5.9</v>
      </c>
      <c r="E341" s="4">
        <v>11</v>
      </c>
      <c r="F341" s="8">
        <v>1.23</v>
      </c>
      <c r="G341" s="4">
        <v>101</v>
      </c>
      <c r="H341" s="8">
        <v>10.09</v>
      </c>
      <c r="I341" s="4">
        <v>0</v>
      </c>
    </row>
    <row r="342" spans="1:9" x14ac:dyDescent="0.15">
      <c r="A342" s="2">
        <v>7</v>
      </c>
      <c r="B342" s="1" t="s">
        <v>94</v>
      </c>
      <c r="C342" s="4">
        <v>96</v>
      </c>
      <c r="D342" s="8">
        <v>5.0599999999999996</v>
      </c>
      <c r="E342" s="4">
        <v>52</v>
      </c>
      <c r="F342" s="8">
        <v>5.8</v>
      </c>
      <c r="G342" s="4">
        <v>44</v>
      </c>
      <c r="H342" s="8">
        <v>4.4000000000000004</v>
      </c>
      <c r="I342" s="4">
        <v>0</v>
      </c>
    </row>
    <row r="343" spans="1:9" x14ac:dyDescent="0.15">
      <c r="A343" s="2">
        <v>8</v>
      </c>
      <c r="B343" s="1" t="s">
        <v>92</v>
      </c>
      <c r="C343" s="4">
        <v>87</v>
      </c>
      <c r="D343" s="8">
        <v>4.58</v>
      </c>
      <c r="E343" s="4">
        <v>62</v>
      </c>
      <c r="F343" s="8">
        <v>6.91</v>
      </c>
      <c r="G343" s="4">
        <v>25</v>
      </c>
      <c r="H343" s="8">
        <v>2.5</v>
      </c>
      <c r="I343" s="4">
        <v>0</v>
      </c>
    </row>
    <row r="344" spans="1:9" x14ac:dyDescent="0.15">
      <c r="A344" s="2">
        <v>9</v>
      </c>
      <c r="B344" s="1" t="s">
        <v>102</v>
      </c>
      <c r="C344" s="4">
        <v>75</v>
      </c>
      <c r="D344" s="8">
        <v>3.95</v>
      </c>
      <c r="E344" s="4">
        <v>57</v>
      </c>
      <c r="F344" s="8">
        <v>6.35</v>
      </c>
      <c r="G344" s="4">
        <v>18</v>
      </c>
      <c r="H344" s="8">
        <v>1.8</v>
      </c>
      <c r="I344" s="4">
        <v>0</v>
      </c>
    </row>
    <row r="345" spans="1:9" x14ac:dyDescent="0.15">
      <c r="A345" s="2">
        <v>10</v>
      </c>
      <c r="B345" s="1" t="s">
        <v>103</v>
      </c>
      <c r="C345" s="4">
        <v>70</v>
      </c>
      <c r="D345" s="8">
        <v>3.69</v>
      </c>
      <c r="E345" s="4">
        <v>65</v>
      </c>
      <c r="F345" s="8">
        <v>7.25</v>
      </c>
      <c r="G345" s="4">
        <v>5</v>
      </c>
      <c r="H345" s="8">
        <v>0.5</v>
      </c>
      <c r="I345" s="4">
        <v>0</v>
      </c>
    </row>
    <row r="346" spans="1:9" x14ac:dyDescent="0.15">
      <c r="A346" s="2">
        <v>11</v>
      </c>
      <c r="B346" s="1" t="s">
        <v>93</v>
      </c>
      <c r="C346" s="4">
        <v>64</v>
      </c>
      <c r="D346" s="8">
        <v>3.37</v>
      </c>
      <c r="E346" s="4">
        <v>25</v>
      </c>
      <c r="F346" s="8">
        <v>2.79</v>
      </c>
      <c r="G346" s="4">
        <v>39</v>
      </c>
      <c r="H346" s="8">
        <v>3.9</v>
      </c>
      <c r="I346" s="4">
        <v>0</v>
      </c>
    </row>
    <row r="347" spans="1:9" x14ac:dyDescent="0.15">
      <c r="A347" s="2">
        <v>12</v>
      </c>
      <c r="B347" s="1" t="s">
        <v>91</v>
      </c>
      <c r="C347" s="4">
        <v>50</v>
      </c>
      <c r="D347" s="8">
        <v>2.63</v>
      </c>
      <c r="E347" s="4">
        <v>23</v>
      </c>
      <c r="F347" s="8">
        <v>2.56</v>
      </c>
      <c r="G347" s="4">
        <v>27</v>
      </c>
      <c r="H347" s="8">
        <v>2.7</v>
      </c>
      <c r="I347" s="4">
        <v>0</v>
      </c>
    </row>
    <row r="348" spans="1:9" x14ac:dyDescent="0.15">
      <c r="A348" s="2">
        <v>13</v>
      </c>
      <c r="B348" s="1" t="s">
        <v>98</v>
      </c>
      <c r="C348" s="4">
        <v>44</v>
      </c>
      <c r="D348" s="8">
        <v>2.3199999999999998</v>
      </c>
      <c r="E348" s="4">
        <v>14</v>
      </c>
      <c r="F348" s="8">
        <v>1.56</v>
      </c>
      <c r="G348" s="4">
        <v>30</v>
      </c>
      <c r="H348" s="8">
        <v>3</v>
      </c>
      <c r="I348" s="4">
        <v>0</v>
      </c>
    </row>
    <row r="349" spans="1:9" x14ac:dyDescent="0.15">
      <c r="A349" s="2">
        <v>14</v>
      </c>
      <c r="B349" s="1" t="s">
        <v>97</v>
      </c>
      <c r="C349" s="4">
        <v>34</v>
      </c>
      <c r="D349" s="8">
        <v>1.79</v>
      </c>
      <c r="E349" s="4">
        <v>22</v>
      </c>
      <c r="F349" s="8">
        <v>2.4500000000000002</v>
      </c>
      <c r="G349" s="4">
        <v>12</v>
      </c>
      <c r="H349" s="8">
        <v>1.2</v>
      </c>
      <c r="I349" s="4">
        <v>0</v>
      </c>
    </row>
    <row r="350" spans="1:9" x14ac:dyDescent="0.15">
      <c r="A350" s="2">
        <v>15</v>
      </c>
      <c r="B350" s="1" t="s">
        <v>95</v>
      </c>
      <c r="C350" s="4">
        <v>31</v>
      </c>
      <c r="D350" s="8">
        <v>1.63</v>
      </c>
      <c r="E350" s="4">
        <v>4</v>
      </c>
      <c r="F350" s="8">
        <v>0.45</v>
      </c>
      <c r="G350" s="4">
        <v>27</v>
      </c>
      <c r="H350" s="8">
        <v>2.7</v>
      </c>
      <c r="I350" s="4">
        <v>0</v>
      </c>
    </row>
    <row r="351" spans="1:9" x14ac:dyDescent="0.15">
      <c r="A351" s="2">
        <v>16</v>
      </c>
      <c r="B351" s="1" t="s">
        <v>108</v>
      </c>
      <c r="C351" s="4">
        <v>27</v>
      </c>
      <c r="D351" s="8">
        <v>1.42</v>
      </c>
      <c r="E351" s="4">
        <v>1</v>
      </c>
      <c r="F351" s="8">
        <v>0.11</v>
      </c>
      <c r="G351" s="4">
        <v>25</v>
      </c>
      <c r="H351" s="8">
        <v>2.5</v>
      </c>
      <c r="I351" s="4">
        <v>1</v>
      </c>
    </row>
    <row r="352" spans="1:9" x14ac:dyDescent="0.15">
      <c r="A352" s="2">
        <v>17</v>
      </c>
      <c r="B352" s="1" t="s">
        <v>106</v>
      </c>
      <c r="C352" s="4">
        <v>24</v>
      </c>
      <c r="D352" s="8">
        <v>1.26</v>
      </c>
      <c r="E352" s="4">
        <v>5</v>
      </c>
      <c r="F352" s="8">
        <v>0.56000000000000005</v>
      </c>
      <c r="G352" s="4">
        <v>19</v>
      </c>
      <c r="H352" s="8">
        <v>1.9</v>
      </c>
      <c r="I352" s="4">
        <v>0</v>
      </c>
    </row>
    <row r="353" spans="1:9" x14ac:dyDescent="0.15">
      <c r="A353" s="2">
        <v>18</v>
      </c>
      <c r="B353" s="1" t="s">
        <v>101</v>
      </c>
      <c r="C353" s="4">
        <v>23</v>
      </c>
      <c r="D353" s="8">
        <v>1.21</v>
      </c>
      <c r="E353" s="4">
        <v>6</v>
      </c>
      <c r="F353" s="8">
        <v>0.67</v>
      </c>
      <c r="G353" s="4">
        <v>17</v>
      </c>
      <c r="H353" s="8">
        <v>1.7</v>
      </c>
      <c r="I353" s="4">
        <v>0</v>
      </c>
    </row>
    <row r="354" spans="1:9" x14ac:dyDescent="0.15">
      <c r="A354" s="2">
        <v>19</v>
      </c>
      <c r="B354" s="1" t="s">
        <v>90</v>
      </c>
      <c r="C354" s="4">
        <v>22</v>
      </c>
      <c r="D354" s="8">
        <v>1.1599999999999999</v>
      </c>
      <c r="E354" s="4">
        <v>1</v>
      </c>
      <c r="F354" s="8">
        <v>0.11</v>
      </c>
      <c r="G354" s="4">
        <v>21</v>
      </c>
      <c r="H354" s="8">
        <v>2.1</v>
      </c>
      <c r="I354" s="4">
        <v>0</v>
      </c>
    </row>
    <row r="355" spans="1:9" x14ac:dyDescent="0.15">
      <c r="A355" s="2">
        <v>20</v>
      </c>
      <c r="B355" s="1" t="s">
        <v>117</v>
      </c>
      <c r="C355" s="4">
        <v>20</v>
      </c>
      <c r="D355" s="8">
        <v>1.05</v>
      </c>
      <c r="E355" s="4">
        <v>6</v>
      </c>
      <c r="F355" s="8">
        <v>0.67</v>
      </c>
      <c r="G355" s="4">
        <v>14</v>
      </c>
      <c r="H355" s="8">
        <v>1.4</v>
      </c>
      <c r="I355" s="4">
        <v>0</v>
      </c>
    </row>
    <row r="356" spans="1:9" x14ac:dyDescent="0.15">
      <c r="A356" s="1"/>
      <c r="C356" s="4"/>
      <c r="D356" s="8"/>
      <c r="E356" s="4"/>
      <c r="F356" s="8"/>
      <c r="G356" s="4"/>
      <c r="H356" s="8"/>
      <c r="I356" s="4"/>
    </row>
    <row r="357" spans="1:9" x14ac:dyDescent="0.15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15">
      <c r="A358" s="2">
        <v>1</v>
      </c>
      <c r="B358" s="1" t="s">
        <v>100</v>
      </c>
      <c r="C358" s="4">
        <v>147</v>
      </c>
      <c r="D358" s="8">
        <v>11.93</v>
      </c>
      <c r="E358" s="4">
        <v>115</v>
      </c>
      <c r="F358" s="8">
        <v>23.05</v>
      </c>
      <c r="G358" s="4">
        <v>32</v>
      </c>
      <c r="H358" s="8">
        <v>4.37</v>
      </c>
      <c r="I358" s="4">
        <v>0</v>
      </c>
    </row>
    <row r="359" spans="1:9" x14ac:dyDescent="0.15">
      <c r="A359" s="2">
        <v>2</v>
      </c>
      <c r="B359" s="1" t="s">
        <v>96</v>
      </c>
      <c r="C359" s="4">
        <v>136</v>
      </c>
      <c r="D359" s="8">
        <v>11.04</v>
      </c>
      <c r="E359" s="4">
        <v>63</v>
      </c>
      <c r="F359" s="8">
        <v>12.63</v>
      </c>
      <c r="G359" s="4">
        <v>73</v>
      </c>
      <c r="H359" s="8">
        <v>9.9700000000000006</v>
      </c>
      <c r="I359" s="4">
        <v>0</v>
      </c>
    </row>
    <row r="360" spans="1:9" x14ac:dyDescent="0.15">
      <c r="A360" s="2">
        <v>3</v>
      </c>
      <c r="B360" s="1" t="s">
        <v>85</v>
      </c>
      <c r="C360" s="4">
        <v>97</v>
      </c>
      <c r="D360" s="8">
        <v>7.87</v>
      </c>
      <c r="E360" s="4">
        <v>5</v>
      </c>
      <c r="F360" s="8">
        <v>1</v>
      </c>
      <c r="G360" s="4">
        <v>92</v>
      </c>
      <c r="H360" s="8">
        <v>12.57</v>
      </c>
      <c r="I360" s="4">
        <v>0</v>
      </c>
    </row>
    <row r="361" spans="1:9" x14ac:dyDescent="0.15">
      <c r="A361" s="2">
        <v>4</v>
      </c>
      <c r="B361" s="1" t="s">
        <v>86</v>
      </c>
      <c r="C361" s="4">
        <v>88</v>
      </c>
      <c r="D361" s="8">
        <v>7.14</v>
      </c>
      <c r="E361" s="4">
        <v>20</v>
      </c>
      <c r="F361" s="8">
        <v>4.01</v>
      </c>
      <c r="G361" s="4">
        <v>68</v>
      </c>
      <c r="H361" s="8">
        <v>9.2899999999999991</v>
      </c>
      <c r="I361" s="4">
        <v>0</v>
      </c>
    </row>
    <row r="362" spans="1:9" x14ac:dyDescent="0.15">
      <c r="A362" s="2">
        <v>5</v>
      </c>
      <c r="B362" s="1" t="s">
        <v>97</v>
      </c>
      <c r="C362" s="4">
        <v>62</v>
      </c>
      <c r="D362" s="8">
        <v>5.03</v>
      </c>
      <c r="E362" s="4">
        <v>36</v>
      </c>
      <c r="F362" s="8">
        <v>7.21</v>
      </c>
      <c r="G362" s="4">
        <v>26</v>
      </c>
      <c r="H362" s="8">
        <v>3.55</v>
      </c>
      <c r="I362" s="4">
        <v>0</v>
      </c>
    </row>
    <row r="363" spans="1:9" x14ac:dyDescent="0.15">
      <c r="A363" s="2">
        <v>6</v>
      </c>
      <c r="B363" s="1" t="s">
        <v>102</v>
      </c>
      <c r="C363" s="4">
        <v>59</v>
      </c>
      <c r="D363" s="8">
        <v>4.79</v>
      </c>
      <c r="E363" s="4">
        <v>47</v>
      </c>
      <c r="F363" s="8">
        <v>9.42</v>
      </c>
      <c r="G363" s="4">
        <v>12</v>
      </c>
      <c r="H363" s="8">
        <v>1.64</v>
      </c>
      <c r="I363" s="4">
        <v>0</v>
      </c>
    </row>
    <row r="364" spans="1:9" x14ac:dyDescent="0.15">
      <c r="A364" s="2">
        <v>7</v>
      </c>
      <c r="B364" s="1" t="s">
        <v>103</v>
      </c>
      <c r="C364" s="4">
        <v>58</v>
      </c>
      <c r="D364" s="8">
        <v>4.71</v>
      </c>
      <c r="E364" s="4">
        <v>47</v>
      </c>
      <c r="F364" s="8">
        <v>9.42</v>
      </c>
      <c r="G364" s="4">
        <v>11</v>
      </c>
      <c r="H364" s="8">
        <v>1.5</v>
      </c>
      <c r="I364" s="4">
        <v>0</v>
      </c>
    </row>
    <row r="365" spans="1:9" x14ac:dyDescent="0.15">
      <c r="A365" s="2">
        <v>8</v>
      </c>
      <c r="B365" s="1" t="s">
        <v>99</v>
      </c>
      <c r="C365" s="4">
        <v>55</v>
      </c>
      <c r="D365" s="8">
        <v>4.46</v>
      </c>
      <c r="E365" s="4">
        <v>39</v>
      </c>
      <c r="F365" s="8">
        <v>7.82</v>
      </c>
      <c r="G365" s="4">
        <v>16</v>
      </c>
      <c r="H365" s="8">
        <v>2.19</v>
      </c>
      <c r="I365" s="4">
        <v>0</v>
      </c>
    </row>
    <row r="366" spans="1:9" x14ac:dyDescent="0.15">
      <c r="A366" s="2">
        <v>9</v>
      </c>
      <c r="B366" s="1" t="s">
        <v>94</v>
      </c>
      <c r="C366" s="4">
        <v>54</v>
      </c>
      <c r="D366" s="8">
        <v>4.38</v>
      </c>
      <c r="E366" s="4">
        <v>20</v>
      </c>
      <c r="F366" s="8">
        <v>4.01</v>
      </c>
      <c r="G366" s="4">
        <v>34</v>
      </c>
      <c r="H366" s="8">
        <v>4.6399999999999997</v>
      </c>
      <c r="I366" s="4">
        <v>0</v>
      </c>
    </row>
    <row r="367" spans="1:9" x14ac:dyDescent="0.15">
      <c r="A367" s="2">
        <v>10</v>
      </c>
      <c r="B367" s="1" t="s">
        <v>87</v>
      </c>
      <c r="C367" s="4">
        <v>50</v>
      </c>
      <c r="D367" s="8">
        <v>4.0599999999999996</v>
      </c>
      <c r="E367" s="4">
        <v>4</v>
      </c>
      <c r="F367" s="8">
        <v>0.8</v>
      </c>
      <c r="G367" s="4">
        <v>46</v>
      </c>
      <c r="H367" s="8">
        <v>6.28</v>
      </c>
      <c r="I367" s="4">
        <v>0</v>
      </c>
    </row>
    <row r="368" spans="1:9" x14ac:dyDescent="0.15">
      <c r="A368" s="2">
        <v>11</v>
      </c>
      <c r="B368" s="1" t="s">
        <v>92</v>
      </c>
      <c r="C368" s="4">
        <v>45</v>
      </c>
      <c r="D368" s="8">
        <v>3.65</v>
      </c>
      <c r="E368" s="4">
        <v>30</v>
      </c>
      <c r="F368" s="8">
        <v>6.01</v>
      </c>
      <c r="G368" s="4">
        <v>15</v>
      </c>
      <c r="H368" s="8">
        <v>2.0499999999999998</v>
      </c>
      <c r="I368" s="4">
        <v>0</v>
      </c>
    </row>
    <row r="369" spans="1:9" x14ac:dyDescent="0.15">
      <c r="A369" s="2">
        <v>12</v>
      </c>
      <c r="B369" s="1" t="s">
        <v>98</v>
      </c>
      <c r="C369" s="4">
        <v>35</v>
      </c>
      <c r="D369" s="8">
        <v>2.84</v>
      </c>
      <c r="E369" s="4">
        <v>12</v>
      </c>
      <c r="F369" s="8">
        <v>2.4</v>
      </c>
      <c r="G369" s="4">
        <v>23</v>
      </c>
      <c r="H369" s="8">
        <v>3.14</v>
      </c>
      <c r="I369" s="4">
        <v>0</v>
      </c>
    </row>
    <row r="370" spans="1:9" x14ac:dyDescent="0.15">
      <c r="A370" s="2">
        <v>13</v>
      </c>
      <c r="B370" s="1" t="s">
        <v>93</v>
      </c>
      <c r="C370" s="4">
        <v>31</v>
      </c>
      <c r="D370" s="8">
        <v>2.52</v>
      </c>
      <c r="E370" s="4">
        <v>12</v>
      </c>
      <c r="F370" s="8">
        <v>2.4</v>
      </c>
      <c r="G370" s="4">
        <v>19</v>
      </c>
      <c r="H370" s="8">
        <v>2.6</v>
      </c>
      <c r="I370" s="4">
        <v>0</v>
      </c>
    </row>
    <row r="371" spans="1:9" x14ac:dyDescent="0.15">
      <c r="A371" s="2">
        <v>13</v>
      </c>
      <c r="B371" s="1" t="s">
        <v>108</v>
      </c>
      <c r="C371" s="4">
        <v>31</v>
      </c>
      <c r="D371" s="8">
        <v>2.52</v>
      </c>
      <c r="E371" s="4">
        <v>0</v>
      </c>
      <c r="F371" s="8">
        <v>0</v>
      </c>
      <c r="G371" s="4">
        <v>31</v>
      </c>
      <c r="H371" s="8">
        <v>4.2300000000000004</v>
      </c>
      <c r="I371" s="4">
        <v>0</v>
      </c>
    </row>
    <row r="372" spans="1:9" x14ac:dyDescent="0.15">
      <c r="A372" s="2">
        <v>15</v>
      </c>
      <c r="B372" s="1" t="s">
        <v>90</v>
      </c>
      <c r="C372" s="4">
        <v>25</v>
      </c>
      <c r="D372" s="8">
        <v>2.0299999999999998</v>
      </c>
      <c r="E372" s="4">
        <v>2</v>
      </c>
      <c r="F372" s="8">
        <v>0.4</v>
      </c>
      <c r="G372" s="4">
        <v>23</v>
      </c>
      <c r="H372" s="8">
        <v>3.14</v>
      </c>
      <c r="I372" s="4">
        <v>0</v>
      </c>
    </row>
    <row r="373" spans="1:9" x14ac:dyDescent="0.15">
      <c r="A373" s="2">
        <v>16</v>
      </c>
      <c r="B373" s="1" t="s">
        <v>95</v>
      </c>
      <c r="C373" s="4">
        <v>18</v>
      </c>
      <c r="D373" s="8">
        <v>1.46</v>
      </c>
      <c r="E373" s="4">
        <v>1</v>
      </c>
      <c r="F373" s="8">
        <v>0.2</v>
      </c>
      <c r="G373" s="4">
        <v>17</v>
      </c>
      <c r="H373" s="8">
        <v>2.3199999999999998</v>
      </c>
      <c r="I373" s="4">
        <v>0</v>
      </c>
    </row>
    <row r="374" spans="1:9" x14ac:dyDescent="0.15">
      <c r="A374" s="2">
        <v>16</v>
      </c>
      <c r="B374" s="1" t="s">
        <v>113</v>
      </c>
      <c r="C374" s="4">
        <v>18</v>
      </c>
      <c r="D374" s="8">
        <v>1.46</v>
      </c>
      <c r="E374" s="4">
        <v>6</v>
      </c>
      <c r="F374" s="8">
        <v>1.2</v>
      </c>
      <c r="G374" s="4">
        <v>12</v>
      </c>
      <c r="H374" s="8">
        <v>1.64</v>
      </c>
      <c r="I374" s="4">
        <v>0</v>
      </c>
    </row>
    <row r="375" spans="1:9" x14ac:dyDescent="0.15">
      <c r="A375" s="2">
        <v>18</v>
      </c>
      <c r="B375" s="1" t="s">
        <v>109</v>
      </c>
      <c r="C375" s="4">
        <v>17</v>
      </c>
      <c r="D375" s="8">
        <v>1.38</v>
      </c>
      <c r="E375" s="4">
        <v>1</v>
      </c>
      <c r="F375" s="8">
        <v>0.2</v>
      </c>
      <c r="G375" s="4">
        <v>15</v>
      </c>
      <c r="H375" s="8">
        <v>2.0499999999999998</v>
      </c>
      <c r="I375" s="4">
        <v>1</v>
      </c>
    </row>
    <row r="376" spans="1:9" x14ac:dyDescent="0.15">
      <c r="A376" s="2">
        <v>19</v>
      </c>
      <c r="B376" s="1" t="s">
        <v>105</v>
      </c>
      <c r="C376" s="4">
        <v>14</v>
      </c>
      <c r="D376" s="8">
        <v>1.1399999999999999</v>
      </c>
      <c r="E376" s="4">
        <v>2</v>
      </c>
      <c r="F376" s="8">
        <v>0.4</v>
      </c>
      <c r="G376" s="4">
        <v>12</v>
      </c>
      <c r="H376" s="8">
        <v>1.64</v>
      </c>
      <c r="I376" s="4">
        <v>0</v>
      </c>
    </row>
    <row r="377" spans="1:9" x14ac:dyDescent="0.15">
      <c r="A377" s="2">
        <v>19</v>
      </c>
      <c r="B377" s="1" t="s">
        <v>118</v>
      </c>
      <c r="C377" s="4">
        <v>14</v>
      </c>
      <c r="D377" s="8">
        <v>1.1399999999999999</v>
      </c>
      <c r="E377" s="4">
        <v>2</v>
      </c>
      <c r="F377" s="8">
        <v>0.4</v>
      </c>
      <c r="G377" s="4">
        <v>12</v>
      </c>
      <c r="H377" s="8">
        <v>1.64</v>
      </c>
      <c r="I377" s="4">
        <v>0</v>
      </c>
    </row>
    <row r="378" spans="1:9" x14ac:dyDescent="0.15">
      <c r="A378" s="2">
        <v>19</v>
      </c>
      <c r="B378" s="1" t="s">
        <v>101</v>
      </c>
      <c r="C378" s="4">
        <v>14</v>
      </c>
      <c r="D378" s="8">
        <v>1.1399999999999999</v>
      </c>
      <c r="E378" s="4">
        <v>4</v>
      </c>
      <c r="F378" s="8">
        <v>0.8</v>
      </c>
      <c r="G378" s="4">
        <v>10</v>
      </c>
      <c r="H378" s="8">
        <v>1.37</v>
      </c>
      <c r="I378" s="4">
        <v>0</v>
      </c>
    </row>
    <row r="379" spans="1:9" x14ac:dyDescent="0.15">
      <c r="A379" s="1"/>
      <c r="C379" s="4"/>
      <c r="D379" s="8"/>
      <c r="E379" s="4"/>
      <c r="F379" s="8"/>
      <c r="G379" s="4"/>
      <c r="H379" s="8"/>
      <c r="I379" s="4"/>
    </row>
    <row r="380" spans="1:9" x14ac:dyDescent="0.15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15">
      <c r="A381" s="2">
        <v>1</v>
      </c>
      <c r="B381" s="1" t="s">
        <v>100</v>
      </c>
      <c r="C381" s="4">
        <v>210</v>
      </c>
      <c r="D381" s="8">
        <v>9.92</v>
      </c>
      <c r="E381" s="4">
        <v>165</v>
      </c>
      <c r="F381" s="8">
        <v>18.690000000000001</v>
      </c>
      <c r="G381" s="4">
        <v>45</v>
      </c>
      <c r="H381" s="8">
        <v>3.65</v>
      </c>
      <c r="I381" s="4">
        <v>0</v>
      </c>
    </row>
    <row r="382" spans="1:9" x14ac:dyDescent="0.15">
      <c r="A382" s="2">
        <v>2</v>
      </c>
      <c r="B382" s="1" t="s">
        <v>85</v>
      </c>
      <c r="C382" s="4">
        <v>205</v>
      </c>
      <c r="D382" s="8">
        <v>9.68</v>
      </c>
      <c r="E382" s="4">
        <v>43</v>
      </c>
      <c r="F382" s="8">
        <v>4.87</v>
      </c>
      <c r="G382" s="4">
        <v>162</v>
      </c>
      <c r="H382" s="8">
        <v>13.15</v>
      </c>
      <c r="I382" s="4">
        <v>0</v>
      </c>
    </row>
    <row r="383" spans="1:9" x14ac:dyDescent="0.15">
      <c r="A383" s="2">
        <v>3</v>
      </c>
      <c r="B383" s="1" t="s">
        <v>86</v>
      </c>
      <c r="C383" s="4">
        <v>184</v>
      </c>
      <c r="D383" s="8">
        <v>8.69</v>
      </c>
      <c r="E383" s="4">
        <v>47</v>
      </c>
      <c r="F383" s="8">
        <v>5.32</v>
      </c>
      <c r="G383" s="4">
        <v>137</v>
      </c>
      <c r="H383" s="8">
        <v>11.12</v>
      </c>
      <c r="I383" s="4">
        <v>0</v>
      </c>
    </row>
    <row r="384" spans="1:9" x14ac:dyDescent="0.15">
      <c r="A384" s="2">
        <v>4</v>
      </c>
      <c r="B384" s="1" t="s">
        <v>96</v>
      </c>
      <c r="C384" s="4">
        <v>139</v>
      </c>
      <c r="D384" s="8">
        <v>6.56</v>
      </c>
      <c r="E384" s="4">
        <v>49</v>
      </c>
      <c r="F384" s="8">
        <v>5.55</v>
      </c>
      <c r="G384" s="4">
        <v>89</v>
      </c>
      <c r="H384" s="8">
        <v>7.22</v>
      </c>
      <c r="I384" s="4">
        <v>1</v>
      </c>
    </row>
    <row r="385" spans="1:9" x14ac:dyDescent="0.15">
      <c r="A385" s="2">
        <v>5</v>
      </c>
      <c r="B385" s="1" t="s">
        <v>99</v>
      </c>
      <c r="C385" s="4">
        <v>135</v>
      </c>
      <c r="D385" s="8">
        <v>6.37</v>
      </c>
      <c r="E385" s="4">
        <v>111</v>
      </c>
      <c r="F385" s="8">
        <v>12.57</v>
      </c>
      <c r="G385" s="4">
        <v>24</v>
      </c>
      <c r="H385" s="8">
        <v>1.95</v>
      </c>
      <c r="I385" s="4">
        <v>0</v>
      </c>
    </row>
    <row r="386" spans="1:9" x14ac:dyDescent="0.15">
      <c r="A386" s="2">
        <v>6</v>
      </c>
      <c r="B386" s="1" t="s">
        <v>87</v>
      </c>
      <c r="C386" s="4">
        <v>124</v>
      </c>
      <c r="D386" s="8">
        <v>5.85</v>
      </c>
      <c r="E386" s="4">
        <v>19</v>
      </c>
      <c r="F386" s="8">
        <v>2.15</v>
      </c>
      <c r="G386" s="4">
        <v>105</v>
      </c>
      <c r="H386" s="8">
        <v>8.52</v>
      </c>
      <c r="I386" s="4">
        <v>0</v>
      </c>
    </row>
    <row r="387" spans="1:9" x14ac:dyDescent="0.15">
      <c r="A387" s="2">
        <v>7</v>
      </c>
      <c r="B387" s="1" t="s">
        <v>102</v>
      </c>
      <c r="C387" s="4">
        <v>111</v>
      </c>
      <c r="D387" s="8">
        <v>5.24</v>
      </c>
      <c r="E387" s="4">
        <v>81</v>
      </c>
      <c r="F387" s="8">
        <v>9.17</v>
      </c>
      <c r="G387" s="4">
        <v>29</v>
      </c>
      <c r="H387" s="8">
        <v>2.35</v>
      </c>
      <c r="I387" s="4">
        <v>1</v>
      </c>
    </row>
    <row r="388" spans="1:9" x14ac:dyDescent="0.15">
      <c r="A388" s="2">
        <v>8</v>
      </c>
      <c r="B388" s="1" t="s">
        <v>94</v>
      </c>
      <c r="C388" s="4">
        <v>97</v>
      </c>
      <c r="D388" s="8">
        <v>4.58</v>
      </c>
      <c r="E388" s="4">
        <v>38</v>
      </c>
      <c r="F388" s="8">
        <v>4.3</v>
      </c>
      <c r="G388" s="4">
        <v>59</v>
      </c>
      <c r="H388" s="8">
        <v>4.79</v>
      </c>
      <c r="I388" s="4">
        <v>0</v>
      </c>
    </row>
    <row r="389" spans="1:9" x14ac:dyDescent="0.15">
      <c r="A389" s="2">
        <v>9</v>
      </c>
      <c r="B389" s="1" t="s">
        <v>92</v>
      </c>
      <c r="C389" s="4">
        <v>86</v>
      </c>
      <c r="D389" s="8">
        <v>4.0599999999999996</v>
      </c>
      <c r="E389" s="4">
        <v>52</v>
      </c>
      <c r="F389" s="8">
        <v>5.89</v>
      </c>
      <c r="G389" s="4">
        <v>34</v>
      </c>
      <c r="H389" s="8">
        <v>2.76</v>
      </c>
      <c r="I389" s="4">
        <v>0</v>
      </c>
    </row>
    <row r="390" spans="1:9" x14ac:dyDescent="0.15">
      <c r="A390" s="2">
        <v>9</v>
      </c>
      <c r="B390" s="1" t="s">
        <v>103</v>
      </c>
      <c r="C390" s="4">
        <v>86</v>
      </c>
      <c r="D390" s="8">
        <v>4.0599999999999996</v>
      </c>
      <c r="E390" s="4">
        <v>73</v>
      </c>
      <c r="F390" s="8">
        <v>8.27</v>
      </c>
      <c r="G390" s="4">
        <v>13</v>
      </c>
      <c r="H390" s="8">
        <v>1.06</v>
      </c>
      <c r="I390" s="4">
        <v>0</v>
      </c>
    </row>
    <row r="391" spans="1:9" x14ac:dyDescent="0.15">
      <c r="A391" s="2">
        <v>11</v>
      </c>
      <c r="B391" s="1" t="s">
        <v>97</v>
      </c>
      <c r="C391" s="4">
        <v>58</v>
      </c>
      <c r="D391" s="8">
        <v>2.74</v>
      </c>
      <c r="E391" s="4">
        <v>31</v>
      </c>
      <c r="F391" s="8">
        <v>3.51</v>
      </c>
      <c r="G391" s="4">
        <v>27</v>
      </c>
      <c r="H391" s="8">
        <v>2.19</v>
      </c>
      <c r="I391" s="4">
        <v>0</v>
      </c>
    </row>
    <row r="392" spans="1:9" x14ac:dyDescent="0.15">
      <c r="A392" s="2">
        <v>12</v>
      </c>
      <c r="B392" s="1" t="s">
        <v>98</v>
      </c>
      <c r="C392" s="4">
        <v>57</v>
      </c>
      <c r="D392" s="8">
        <v>2.69</v>
      </c>
      <c r="E392" s="4">
        <v>18</v>
      </c>
      <c r="F392" s="8">
        <v>2.04</v>
      </c>
      <c r="G392" s="4">
        <v>39</v>
      </c>
      <c r="H392" s="8">
        <v>3.17</v>
      </c>
      <c r="I392" s="4">
        <v>0</v>
      </c>
    </row>
    <row r="393" spans="1:9" x14ac:dyDescent="0.15">
      <c r="A393" s="2">
        <v>13</v>
      </c>
      <c r="B393" s="1" t="s">
        <v>93</v>
      </c>
      <c r="C393" s="4">
        <v>53</v>
      </c>
      <c r="D393" s="8">
        <v>2.5</v>
      </c>
      <c r="E393" s="4">
        <v>22</v>
      </c>
      <c r="F393" s="8">
        <v>2.4900000000000002</v>
      </c>
      <c r="G393" s="4">
        <v>31</v>
      </c>
      <c r="H393" s="8">
        <v>2.52</v>
      </c>
      <c r="I393" s="4">
        <v>0</v>
      </c>
    </row>
    <row r="394" spans="1:9" x14ac:dyDescent="0.15">
      <c r="A394" s="2">
        <v>14</v>
      </c>
      <c r="B394" s="1" t="s">
        <v>108</v>
      </c>
      <c r="C394" s="4">
        <v>46</v>
      </c>
      <c r="D394" s="8">
        <v>2.17</v>
      </c>
      <c r="E394" s="4">
        <v>0</v>
      </c>
      <c r="F394" s="8">
        <v>0</v>
      </c>
      <c r="G394" s="4">
        <v>46</v>
      </c>
      <c r="H394" s="8">
        <v>3.73</v>
      </c>
      <c r="I394" s="4">
        <v>0</v>
      </c>
    </row>
    <row r="395" spans="1:9" x14ac:dyDescent="0.15">
      <c r="A395" s="2">
        <v>15</v>
      </c>
      <c r="B395" s="1" t="s">
        <v>117</v>
      </c>
      <c r="C395" s="4">
        <v>42</v>
      </c>
      <c r="D395" s="8">
        <v>1.98</v>
      </c>
      <c r="E395" s="4">
        <v>28</v>
      </c>
      <c r="F395" s="8">
        <v>3.17</v>
      </c>
      <c r="G395" s="4">
        <v>14</v>
      </c>
      <c r="H395" s="8">
        <v>1.1399999999999999</v>
      </c>
      <c r="I395" s="4">
        <v>0</v>
      </c>
    </row>
    <row r="396" spans="1:9" x14ac:dyDescent="0.15">
      <c r="A396" s="2">
        <v>16</v>
      </c>
      <c r="B396" s="1" t="s">
        <v>95</v>
      </c>
      <c r="C396" s="4">
        <v>39</v>
      </c>
      <c r="D396" s="8">
        <v>1.84</v>
      </c>
      <c r="E396" s="4">
        <v>1</v>
      </c>
      <c r="F396" s="8">
        <v>0.11</v>
      </c>
      <c r="G396" s="4">
        <v>38</v>
      </c>
      <c r="H396" s="8">
        <v>3.08</v>
      </c>
      <c r="I396" s="4">
        <v>0</v>
      </c>
    </row>
    <row r="397" spans="1:9" x14ac:dyDescent="0.15">
      <c r="A397" s="2">
        <v>17</v>
      </c>
      <c r="B397" s="1" t="s">
        <v>90</v>
      </c>
      <c r="C397" s="4">
        <v>35</v>
      </c>
      <c r="D397" s="8">
        <v>1.65</v>
      </c>
      <c r="E397" s="4">
        <v>5</v>
      </c>
      <c r="F397" s="8">
        <v>0.56999999999999995</v>
      </c>
      <c r="G397" s="4">
        <v>30</v>
      </c>
      <c r="H397" s="8">
        <v>2.44</v>
      </c>
      <c r="I397" s="4">
        <v>0</v>
      </c>
    </row>
    <row r="398" spans="1:9" x14ac:dyDescent="0.15">
      <c r="A398" s="2">
        <v>18</v>
      </c>
      <c r="B398" s="1" t="s">
        <v>91</v>
      </c>
      <c r="C398" s="4">
        <v>26</v>
      </c>
      <c r="D398" s="8">
        <v>1.23</v>
      </c>
      <c r="E398" s="4">
        <v>12</v>
      </c>
      <c r="F398" s="8">
        <v>1.36</v>
      </c>
      <c r="G398" s="4">
        <v>14</v>
      </c>
      <c r="H398" s="8">
        <v>1.1399999999999999</v>
      </c>
      <c r="I398" s="4">
        <v>0</v>
      </c>
    </row>
    <row r="399" spans="1:9" x14ac:dyDescent="0.15">
      <c r="A399" s="2">
        <v>19</v>
      </c>
      <c r="B399" s="1" t="s">
        <v>105</v>
      </c>
      <c r="C399" s="4">
        <v>25</v>
      </c>
      <c r="D399" s="8">
        <v>1.18</v>
      </c>
      <c r="E399" s="4">
        <v>3</v>
      </c>
      <c r="F399" s="8">
        <v>0.34</v>
      </c>
      <c r="G399" s="4">
        <v>22</v>
      </c>
      <c r="H399" s="8">
        <v>1.79</v>
      </c>
      <c r="I399" s="4">
        <v>0</v>
      </c>
    </row>
    <row r="400" spans="1:9" x14ac:dyDescent="0.15">
      <c r="A400" s="2">
        <v>20</v>
      </c>
      <c r="B400" s="1" t="s">
        <v>88</v>
      </c>
      <c r="C400" s="4">
        <v>24</v>
      </c>
      <c r="D400" s="8">
        <v>1.1299999999999999</v>
      </c>
      <c r="E400" s="4">
        <v>4</v>
      </c>
      <c r="F400" s="8">
        <v>0.45</v>
      </c>
      <c r="G400" s="4">
        <v>20</v>
      </c>
      <c r="H400" s="8">
        <v>1.62</v>
      </c>
      <c r="I400" s="4">
        <v>0</v>
      </c>
    </row>
    <row r="401" spans="1:9" x14ac:dyDescent="0.15">
      <c r="A401" s="2">
        <v>20</v>
      </c>
      <c r="B401" s="1" t="s">
        <v>106</v>
      </c>
      <c r="C401" s="4">
        <v>24</v>
      </c>
      <c r="D401" s="8">
        <v>1.1299999999999999</v>
      </c>
      <c r="E401" s="4">
        <v>6</v>
      </c>
      <c r="F401" s="8">
        <v>0.68</v>
      </c>
      <c r="G401" s="4">
        <v>18</v>
      </c>
      <c r="H401" s="8">
        <v>1.46</v>
      </c>
      <c r="I401" s="4">
        <v>0</v>
      </c>
    </row>
    <row r="402" spans="1:9" x14ac:dyDescent="0.15">
      <c r="A402" s="2">
        <v>20</v>
      </c>
      <c r="B402" s="1" t="s">
        <v>101</v>
      </c>
      <c r="C402" s="4">
        <v>24</v>
      </c>
      <c r="D402" s="8">
        <v>1.1299999999999999</v>
      </c>
      <c r="E402" s="4">
        <v>9</v>
      </c>
      <c r="F402" s="8">
        <v>1.02</v>
      </c>
      <c r="G402" s="4">
        <v>15</v>
      </c>
      <c r="H402" s="8">
        <v>1.22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100</v>
      </c>
      <c r="C405" s="4">
        <v>381</v>
      </c>
      <c r="D405" s="8">
        <v>10.07</v>
      </c>
      <c r="E405" s="4">
        <v>247</v>
      </c>
      <c r="F405" s="8">
        <v>19.71</v>
      </c>
      <c r="G405" s="4">
        <v>133</v>
      </c>
      <c r="H405" s="8">
        <v>5.28</v>
      </c>
      <c r="I405" s="4">
        <v>1</v>
      </c>
    </row>
    <row r="406" spans="1:9" x14ac:dyDescent="0.15">
      <c r="A406" s="2">
        <v>2</v>
      </c>
      <c r="B406" s="1" t="s">
        <v>96</v>
      </c>
      <c r="C406" s="4">
        <v>367</v>
      </c>
      <c r="D406" s="8">
        <v>9.6999999999999993</v>
      </c>
      <c r="E406" s="4">
        <v>19</v>
      </c>
      <c r="F406" s="8">
        <v>1.52</v>
      </c>
      <c r="G406" s="4">
        <v>347</v>
      </c>
      <c r="H406" s="8">
        <v>13.78</v>
      </c>
      <c r="I406" s="4">
        <v>1</v>
      </c>
    </row>
    <row r="407" spans="1:9" x14ac:dyDescent="0.15">
      <c r="A407" s="2">
        <v>3</v>
      </c>
      <c r="B407" s="1" t="s">
        <v>99</v>
      </c>
      <c r="C407" s="4">
        <v>290</v>
      </c>
      <c r="D407" s="8">
        <v>7.67</v>
      </c>
      <c r="E407" s="4">
        <v>204</v>
      </c>
      <c r="F407" s="8">
        <v>16.28</v>
      </c>
      <c r="G407" s="4">
        <v>86</v>
      </c>
      <c r="H407" s="8">
        <v>3.41</v>
      </c>
      <c r="I407" s="4">
        <v>0</v>
      </c>
    </row>
    <row r="408" spans="1:9" x14ac:dyDescent="0.15">
      <c r="A408" s="2">
        <v>4</v>
      </c>
      <c r="B408" s="1" t="s">
        <v>102</v>
      </c>
      <c r="C408" s="4">
        <v>266</v>
      </c>
      <c r="D408" s="8">
        <v>7.03</v>
      </c>
      <c r="E408" s="4">
        <v>155</v>
      </c>
      <c r="F408" s="8">
        <v>12.37</v>
      </c>
      <c r="G408" s="4">
        <v>110</v>
      </c>
      <c r="H408" s="8">
        <v>4.37</v>
      </c>
      <c r="I408" s="4">
        <v>1</v>
      </c>
    </row>
    <row r="409" spans="1:9" x14ac:dyDescent="0.15">
      <c r="A409" s="2">
        <v>5</v>
      </c>
      <c r="B409" s="1" t="s">
        <v>94</v>
      </c>
      <c r="C409" s="4">
        <v>221</v>
      </c>
      <c r="D409" s="8">
        <v>5.84</v>
      </c>
      <c r="E409" s="4">
        <v>76</v>
      </c>
      <c r="F409" s="8">
        <v>6.07</v>
      </c>
      <c r="G409" s="4">
        <v>145</v>
      </c>
      <c r="H409" s="8">
        <v>5.76</v>
      </c>
      <c r="I409" s="4">
        <v>0</v>
      </c>
    </row>
    <row r="410" spans="1:9" x14ac:dyDescent="0.15">
      <c r="A410" s="2">
        <v>6</v>
      </c>
      <c r="B410" s="1" t="s">
        <v>103</v>
      </c>
      <c r="C410" s="4">
        <v>219</v>
      </c>
      <c r="D410" s="8">
        <v>5.79</v>
      </c>
      <c r="E410" s="4">
        <v>174</v>
      </c>
      <c r="F410" s="8">
        <v>13.89</v>
      </c>
      <c r="G410" s="4">
        <v>45</v>
      </c>
      <c r="H410" s="8">
        <v>1.79</v>
      </c>
      <c r="I410" s="4">
        <v>0</v>
      </c>
    </row>
    <row r="411" spans="1:9" x14ac:dyDescent="0.15">
      <c r="A411" s="2">
        <v>7</v>
      </c>
      <c r="B411" s="1" t="s">
        <v>97</v>
      </c>
      <c r="C411" s="4">
        <v>216</v>
      </c>
      <c r="D411" s="8">
        <v>5.71</v>
      </c>
      <c r="E411" s="4">
        <v>70</v>
      </c>
      <c r="F411" s="8">
        <v>5.59</v>
      </c>
      <c r="G411" s="4">
        <v>146</v>
      </c>
      <c r="H411" s="8">
        <v>5.8</v>
      </c>
      <c r="I411" s="4">
        <v>0</v>
      </c>
    </row>
    <row r="412" spans="1:9" x14ac:dyDescent="0.15">
      <c r="A412" s="2">
        <v>8</v>
      </c>
      <c r="B412" s="1" t="s">
        <v>85</v>
      </c>
      <c r="C412" s="4">
        <v>205</v>
      </c>
      <c r="D412" s="8">
        <v>5.42</v>
      </c>
      <c r="E412" s="4">
        <v>19</v>
      </c>
      <c r="F412" s="8">
        <v>1.52</v>
      </c>
      <c r="G412" s="4">
        <v>186</v>
      </c>
      <c r="H412" s="8">
        <v>7.38</v>
      </c>
      <c r="I412" s="4">
        <v>0</v>
      </c>
    </row>
    <row r="413" spans="1:9" x14ac:dyDescent="0.15">
      <c r="A413" s="2">
        <v>9</v>
      </c>
      <c r="B413" s="1" t="s">
        <v>91</v>
      </c>
      <c r="C413" s="4">
        <v>146</v>
      </c>
      <c r="D413" s="8">
        <v>3.86</v>
      </c>
      <c r="E413" s="4">
        <v>51</v>
      </c>
      <c r="F413" s="8">
        <v>4.07</v>
      </c>
      <c r="G413" s="4">
        <v>95</v>
      </c>
      <c r="H413" s="8">
        <v>3.77</v>
      </c>
      <c r="I413" s="4">
        <v>0</v>
      </c>
    </row>
    <row r="414" spans="1:9" x14ac:dyDescent="0.15">
      <c r="A414" s="2">
        <v>10</v>
      </c>
      <c r="B414" s="1" t="s">
        <v>92</v>
      </c>
      <c r="C414" s="4">
        <v>143</v>
      </c>
      <c r="D414" s="8">
        <v>3.78</v>
      </c>
      <c r="E414" s="4">
        <v>53</v>
      </c>
      <c r="F414" s="8">
        <v>4.2300000000000004</v>
      </c>
      <c r="G414" s="4">
        <v>90</v>
      </c>
      <c r="H414" s="8">
        <v>3.57</v>
      </c>
      <c r="I414" s="4">
        <v>0</v>
      </c>
    </row>
    <row r="415" spans="1:9" x14ac:dyDescent="0.15">
      <c r="A415" s="2">
        <v>11</v>
      </c>
      <c r="B415" s="1" t="s">
        <v>86</v>
      </c>
      <c r="C415" s="4">
        <v>136</v>
      </c>
      <c r="D415" s="8">
        <v>3.6</v>
      </c>
      <c r="E415" s="4">
        <v>26</v>
      </c>
      <c r="F415" s="8">
        <v>2.08</v>
      </c>
      <c r="G415" s="4">
        <v>110</v>
      </c>
      <c r="H415" s="8">
        <v>4.37</v>
      </c>
      <c r="I415" s="4">
        <v>0</v>
      </c>
    </row>
    <row r="416" spans="1:9" x14ac:dyDescent="0.15">
      <c r="A416" s="2">
        <v>12</v>
      </c>
      <c r="B416" s="1" t="s">
        <v>98</v>
      </c>
      <c r="C416" s="4">
        <v>109</v>
      </c>
      <c r="D416" s="8">
        <v>2.88</v>
      </c>
      <c r="E416" s="4">
        <v>28</v>
      </c>
      <c r="F416" s="8">
        <v>2.23</v>
      </c>
      <c r="G416" s="4">
        <v>81</v>
      </c>
      <c r="H416" s="8">
        <v>3.22</v>
      </c>
      <c r="I416" s="4">
        <v>0</v>
      </c>
    </row>
    <row r="417" spans="1:9" x14ac:dyDescent="0.15">
      <c r="A417" s="2">
        <v>13</v>
      </c>
      <c r="B417" s="1" t="s">
        <v>87</v>
      </c>
      <c r="C417" s="4">
        <v>99</v>
      </c>
      <c r="D417" s="8">
        <v>2.62</v>
      </c>
      <c r="E417" s="4">
        <v>5</v>
      </c>
      <c r="F417" s="8">
        <v>0.4</v>
      </c>
      <c r="G417" s="4">
        <v>94</v>
      </c>
      <c r="H417" s="8">
        <v>3.73</v>
      </c>
      <c r="I417" s="4">
        <v>0</v>
      </c>
    </row>
    <row r="418" spans="1:9" x14ac:dyDescent="0.15">
      <c r="A418" s="2">
        <v>14</v>
      </c>
      <c r="B418" s="1" t="s">
        <v>93</v>
      </c>
      <c r="C418" s="4">
        <v>86</v>
      </c>
      <c r="D418" s="8">
        <v>2.27</v>
      </c>
      <c r="E418" s="4">
        <v>24</v>
      </c>
      <c r="F418" s="8">
        <v>1.92</v>
      </c>
      <c r="G418" s="4">
        <v>62</v>
      </c>
      <c r="H418" s="8">
        <v>2.46</v>
      </c>
      <c r="I418" s="4">
        <v>0</v>
      </c>
    </row>
    <row r="419" spans="1:9" x14ac:dyDescent="0.15">
      <c r="A419" s="2">
        <v>15</v>
      </c>
      <c r="B419" s="1" t="s">
        <v>95</v>
      </c>
      <c r="C419" s="4">
        <v>76</v>
      </c>
      <c r="D419" s="8">
        <v>2.0099999999999998</v>
      </c>
      <c r="E419" s="4">
        <v>3</v>
      </c>
      <c r="F419" s="8">
        <v>0.24</v>
      </c>
      <c r="G419" s="4">
        <v>73</v>
      </c>
      <c r="H419" s="8">
        <v>2.9</v>
      </c>
      <c r="I419" s="4">
        <v>0</v>
      </c>
    </row>
    <row r="420" spans="1:9" x14ac:dyDescent="0.15">
      <c r="A420" s="2">
        <v>16</v>
      </c>
      <c r="B420" s="1" t="s">
        <v>109</v>
      </c>
      <c r="C420" s="4">
        <v>64</v>
      </c>
      <c r="D420" s="8">
        <v>1.69</v>
      </c>
      <c r="E420" s="4">
        <v>3</v>
      </c>
      <c r="F420" s="8">
        <v>0.24</v>
      </c>
      <c r="G420" s="4">
        <v>59</v>
      </c>
      <c r="H420" s="8">
        <v>2.34</v>
      </c>
      <c r="I420" s="4">
        <v>2</v>
      </c>
    </row>
    <row r="421" spans="1:9" x14ac:dyDescent="0.15">
      <c r="A421" s="2">
        <v>17</v>
      </c>
      <c r="B421" s="1" t="s">
        <v>90</v>
      </c>
      <c r="C421" s="4">
        <v>57</v>
      </c>
      <c r="D421" s="8">
        <v>1.51</v>
      </c>
      <c r="E421" s="4">
        <v>2</v>
      </c>
      <c r="F421" s="8">
        <v>0.16</v>
      </c>
      <c r="G421" s="4">
        <v>55</v>
      </c>
      <c r="H421" s="8">
        <v>2.1800000000000002</v>
      </c>
      <c r="I421" s="4">
        <v>0</v>
      </c>
    </row>
    <row r="422" spans="1:9" x14ac:dyDescent="0.15">
      <c r="A422" s="2">
        <v>18</v>
      </c>
      <c r="B422" s="1" t="s">
        <v>105</v>
      </c>
      <c r="C422" s="4">
        <v>52</v>
      </c>
      <c r="D422" s="8">
        <v>1.37</v>
      </c>
      <c r="E422" s="4">
        <v>5</v>
      </c>
      <c r="F422" s="8">
        <v>0.4</v>
      </c>
      <c r="G422" s="4">
        <v>47</v>
      </c>
      <c r="H422" s="8">
        <v>1.87</v>
      </c>
      <c r="I422" s="4">
        <v>0</v>
      </c>
    </row>
    <row r="423" spans="1:9" x14ac:dyDescent="0.15">
      <c r="A423" s="2">
        <v>19</v>
      </c>
      <c r="B423" s="1" t="s">
        <v>118</v>
      </c>
      <c r="C423" s="4">
        <v>48</v>
      </c>
      <c r="D423" s="8">
        <v>1.27</v>
      </c>
      <c r="E423" s="4">
        <v>3</v>
      </c>
      <c r="F423" s="8">
        <v>0.24</v>
      </c>
      <c r="G423" s="4">
        <v>45</v>
      </c>
      <c r="H423" s="8">
        <v>1.79</v>
      </c>
      <c r="I423" s="4">
        <v>0</v>
      </c>
    </row>
    <row r="424" spans="1:9" x14ac:dyDescent="0.15">
      <c r="A424" s="2">
        <v>20</v>
      </c>
      <c r="B424" s="1" t="s">
        <v>101</v>
      </c>
      <c r="C424" s="4">
        <v>47</v>
      </c>
      <c r="D424" s="8">
        <v>1.24</v>
      </c>
      <c r="E424" s="4">
        <v>14</v>
      </c>
      <c r="F424" s="8">
        <v>1.1200000000000001</v>
      </c>
      <c r="G424" s="4">
        <v>33</v>
      </c>
      <c r="H424" s="8">
        <v>1.31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96</v>
      </c>
      <c r="C427" s="4">
        <v>299</v>
      </c>
      <c r="D427" s="8">
        <v>8.23</v>
      </c>
      <c r="E427" s="4">
        <v>16</v>
      </c>
      <c r="F427" s="8">
        <v>1.85</v>
      </c>
      <c r="G427" s="4">
        <v>282</v>
      </c>
      <c r="H427" s="8">
        <v>10.210000000000001</v>
      </c>
      <c r="I427" s="4">
        <v>1</v>
      </c>
    </row>
    <row r="428" spans="1:9" x14ac:dyDescent="0.15">
      <c r="A428" s="2">
        <v>2</v>
      </c>
      <c r="B428" s="1" t="s">
        <v>100</v>
      </c>
      <c r="C428" s="4">
        <v>251</v>
      </c>
      <c r="D428" s="8">
        <v>6.91</v>
      </c>
      <c r="E428" s="4">
        <v>153</v>
      </c>
      <c r="F428" s="8">
        <v>17.670000000000002</v>
      </c>
      <c r="G428" s="4">
        <v>98</v>
      </c>
      <c r="H428" s="8">
        <v>3.55</v>
      </c>
      <c r="I428" s="4">
        <v>0</v>
      </c>
    </row>
    <row r="429" spans="1:9" x14ac:dyDescent="0.15">
      <c r="A429" s="2">
        <v>3</v>
      </c>
      <c r="B429" s="1" t="s">
        <v>85</v>
      </c>
      <c r="C429" s="4">
        <v>225</v>
      </c>
      <c r="D429" s="8">
        <v>6.19</v>
      </c>
      <c r="E429" s="4">
        <v>21</v>
      </c>
      <c r="F429" s="8">
        <v>2.42</v>
      </c>
      <c r="G429" s="4">
        <v>204</v>
      </c>
      <c r="H429" s="8">
        <v>7.38</v>
      </c>
      <c r="I429" s="4">
        <v>0</v>
      </c>
    </row>
    <row r="430" spans="1:9" x14ac:dyDescent="0.15">
      <c r="A430" s="2">
        <v>4</v>
      </c>
      <c r="B430" s="1" t="s">
        <v>86</v>
      </c>
      <c r="C430" s="4">
        <v>203</v>
      </c>
      <c r="D430" s="8">
        <v>5.59</v>
      </c>
      <c r="E430" s="4">
        <v>27</v>
      </c>
      <c r="F430" s="8">
        <v>3.12</v>
      </c>
      <c r="G430" s="4">
        <v>176</v>
      </c>
      <c r="H430" s="8">
        <v>6.37</v>
      </c>
      <c r="I430" s="4">
        <v>0</v>
      </c>
    </row>
    <row r="431" spans="1:9" x14ac:dyDescent="0.15">
      <c r="A431" s="2">
        <v>5</v>
      </c>
      <c r="B431" s="1" t="s">
        <v>88</v>
      </c>
      <c r="C431" s="4">
        <v>176</v>
      </c>
      <c r="D431" s="8">
        <v>4.84</v>
      </c>
      <c r="E431" s="4">
        <v>24</v>
      </c>
      <c r="F431" s="8">
        <v>2.77</v>
      </c>
      <c r="G431" s="4">
        <v>152</v>
      </c>
      <c r="H431" s="8">
        <v>5.5</v>
      </c>
      <c r="I431" s="4">
        <v>0</v>
      </c>
    </row>
    <row r="432" spans="1:9" x14ac:dyDescent="0.15">
      <c r="A432" s="2">
        <v>6</v>
      </c>
      <c r="B432" s="1" t="s">
        <v>99</v>
      </c>
      <c r="C432" s="4">
        <v>171</v>
      </c>
      <c r="D432" s="8">
        <v>4.71</v>
      </c>
      <c r="E432" s="4">
        <v>114</v>
      </c>
      <c r="F432" s="8">
        <v>13.16</v>
      </c>
      <c r="G432" s="4">
        <v>57</v>
      </c>
      <c r="H432" s="8">
        <v>2.06</v>
      </c>
      <c r="I432" s="4">
        <v>0</v>
      </c>
    </row>
    <row r="433" spans="1:9" x14ac:dyDescent="0.15">
      <c r="A433" s="2">
        <v>7</v>
      </c>
      <c r="B433" s="1" t="s">
        <v>94</v>
      </c>
      <c r="C433" s="4">
        <v>156</v>
      </c>
      <c r="D433" s="8">
        <v>4.29</v>
      </c>
      <c r="E433" s="4">
        <v>44</v>
      </c>
      <c r="F433" s="8">
        <v>5.08</v>
      </c>
      <c r="G433" s="4">
        <v>112</v>
      </c>
      <c r="H433" s="8">
        <v>4.05</v>
      </c>
      <c r="I433" s="4">
        <v>0</v>
      </c>
    </row>
    <row r="434" spans="1:9" x14ac:dyDescent="0.15">
      <c r="A434" s="2">
        <v>7</v>
      </c>
      <c r="B434" s="1" t="s">
        <v>102</v>
      </c>
      <c r="C434" s="4">
        <v>156</v>
      </c>
      <c r="D434" s="8">
        <v>4.29</v>
      </c>
      <c r="E434" s="4">
        <v>74</v>
      </c>
      <c r="F434" s="8">
        <v>8.5500000000000007</v>
      </c>
      <c r="G434" s="4">
        <v>82</v>
      </c>
      <c r="H434" s="8">
        <v>2.97</v>
      </c>
      <c r="I434" s="4">
        <v>0</v>
      </c>
    </row>
    <row r="435" spans="1:9" x14ac:dyDescent="0.15">
      <c r="A435" s="2">
        <v>9</v>
      </c>
      <c r="B435" s="1" t="s">
        <v>87</v>
      </c>
      <c r="C435" s="4">
        <v>140</v>
      </c>
      <c r="D435" s="8">
        <v>3.85</v>
      </c>
      <c r="E435" s="4">
        <v>17</v>
      </c>
      <c r="F435" s="8">
        <v>1.96</v>
      </c>
      <c r="G435" s="4">
        <v>123</v>
      </c>
      <c r="H435" s="8">
        <v>4.45</v>
      </c>
      <c r="I435" s="4">
        <v>0</v>
      </c>
    </row>
    <row r="436" spans="1:9" x14ac:dyDescent="0.15">
      <c r="A436" s="2">
        <v>10</v>
      </c>
      <c r="B436" s="1" t="s">
        <v>93</v>
      </c>
      <c r="C436" s="4">
        <v>139</v>
      </c>
      <c r="D436" s="8">
        <v>3.83</v>
      </c>
      <c r="E436" s="4">
        <v>32</v>
      </c>
      <c r="F436" s="8">
        <v>3.7</v>
      </c>
      <c r="G436" s="4">
        <v>107</v>
      </c>
      <c r="H436" s="8">
        <v>3.87</v>
      </c>
      <c r="I436" s="4">
        <v>0</v>
      </c>
    </row>
    <row r="437" spans="1:9" x14ac:dyDescent="0.15">
      <c r="A437" s="2">
        <v>11</v>
      </c>
      <c r="B437" s="1" t="s">
        <v>89</v>
      </c>
      <c r="C437" s="4">
        <v>120</v>
      </c>
      <c r="D437" s="8">
        <v>3.3</v>
      </c>
      <c r="E437" s="4">
        <v>23</v>
      </c>
      <c r="F437" s="8">
        <v>2.66</v>
      </c>
      <c r="G437" s="4">
        <v>97</v>
      </c>
      <c r="H437" s="8">
        <v>3.51</v>
      </c>
      <c r="I437" s="4">
        <v>0</v>
      </c>
    </row>
    <row r="438" spans="1:9" x14ac:dyDescent="0.15">
      <c r="A438" s="2">
        <v>12</v>
      </c>
      <c r="B438" s="1" t="s">
        <v>103</v>
      </c>
      <c r="C438" s="4">
        <v>112</v>
      </c>
      <c r="D438" s="8">
        <v>3.08</v>
      </c>
      <c r="E438" s="4">
        <v>90</v>
      </c>
      <c r="F438" s="8">
        <v>10.39</v>
      </c>
      <c r="G438" s="4">
        <v>22</v>
      </c>
      <c r="H438" s="8">
        <v>0.8</v>
      </c>
      <c r="I438" s="4">
        <v>0</v>
      </c>
    </row>
    <row r="439" spans="1:9" x14ac:dyDescent="0.15">
      <c r="A439" s="2">
        <v>13</v>
      </c>
      <c r="B439" s="1" t="s">
        <v>91</v>
      </c>
      <c r="C439" s="4">
        <v>109</v>
      </c>
      <c r="D439" s="8">
        <v>3</v>
      </c>
      <c r="E439" s="4">
        <v>13</v>
      </c>
      <c r="F439" s="8">
        <v>1.5</v>
      </c>
      <c r="G439" s="4">
        <v>96</v>
      </c>
      <c r="H439" s="8">
        <v>3.47</v>
      </c>
      <c r="I439" s="4">
        <v>0</v>
      </c>
    </row>
    <row r="440" spans="1:9" x14ac:dyDescent="0.15">
      <c r="A440" s="2">
        <v>14</v>
      </c>
      <c r="B440" s="1" t="s">
        <v>97</v>
      </c>
      <c r="C440" s="4">
        <v>93</v>
      </c>
      <c r="D440" s="8">
        <v>2.56</v>
      </c>
      <c r="E440" s="4">
        <v>40</v>
      </c>
      <c r="F440" s="8">
        <v>4.62</v>
      </c>
      <c r="G440" s="4">
        <v>51</v>
      </c>
      <c r="H440" s="8">
        <v>1.85</v>
      </c>
      <c r="I440" s="4">
        <v>2</v>
      </c>
    </row>
    <row r="441" spans="1:9" x14ac:dyDescent="0.15">
      <c r="A441" s="2">
        <v>15</v>
      </c>
      <c r="B441" s="1" t="s">
        <v>98</v>
      </c>
      <c r="C441" s="4">
        <v>88</v>
      </c>
      <c r="D441" s="8">
        <v>2.42</v>
      </c>
      <c r="E441" s="4">
        <v>20</v>
      </c>
      <c r="F441" s="8">
        <v>2.31</v>
      </c>
      <c r="G441" s="4">
        <v>68</v>
      </c>
      <c r="H441" s="8">
        <v>2.46</v>
      </c>
      <c r="I441" s="4">
        <v>0</v>
      </c>
    </row>
    <row r="442" spans="1:9" x14ac:dyDescent="0.15">
      <c r="A442" s="2">
        <v>16</v>
      </c>
      <c r="B442" s="1" t="s">
        <v>117</v>
      </c>
      <c r="C442" s="4">
        <v>87</v>
      </c>
      <c r="D442" s="8">
        <v>2.39</v>
      </c>
      <c r="E442" s="4">
        <v>27</v>
      </c>
      <c r="F442" s="8">
        <v>3.12</v>
      </c>
      <c r="G442" s="4">
        <v>60</v>
      </c>
      <c r="H442" s="8">
        <v>2.17</v>
      </c>
      <c r="I442" s="4">
        <v>0</v>
      </c>
    </row>
    <row r="443" spans="1:9" x14ac:dyDescent="0.15">
      <c r="A443" s="2">
        <v>17</v>
      </c>
      <c r="B443" s="1" t="s">
        <v>90</v>
      </c>
      <c r="C443" s="4">
        <v>84</v>
      </c>
      <c r="D443" s="8">
        <v>2.31</v>
      </c>
      <c r="E443" s="4">
        <v>2</v>
      </c>
      <c r="F443" s="8">
        <v>0.23</v>
      </c>
      <c r="G443" s="4">
        <v>82</v>
      </c>
      <c r="H443" s="8">
        <v>2.97</v>
      </c>
      <c r="I443" s="4">
        <v>0</v>
      </c>
    </row>
    <row r="444" spans="1:9" x14ac:dyDescent="0.15">
      <c r="A444" s="2">
        <v>18</v>
      </c>
      <c r="B444" s="1" t="s">
        <v>92</v>
      </c>
      <c r="C444" s="4">
        <v>66</v>
      </c>
      <c r="D444" s="8">
        <v>1.82</v>
      </c>
      <c r="E444" s="4">
        <v>28</v>
      </c>
      <c r="F444" s="8">
        <v>3.23</v>
      </c>
      <c r="G444" s="4">
        <v>38</v>
      </c>
      <c r="H444" s="8">
        <v>1.38</v>
      </c>
      <c r="I444" s="4">
        <v>0</v>
      </c>
    </row>
    <row r="445" spans="1:9" x14ac:dyDescent="0.15">
      <c r="A445" s="2">
        <v>19</v>
      </c>
      <c r="B445" s="1" t="s">
        <v>119</v>
      </c>
      <c r="C445" s="4">
        <v>62</v>
      </c>
      <c r="D445" s="8">
        <v>1.71</v>
      </c>
      <c r="E445" s="4">
        <v>8</v>
      </c>
      <c r="F445" s="8">
        <v>0.92</v>
      </c>
      <c r="G445" s="4">
        <v>54</v>
      </c>
      <c r="H445" s="8">
        <v>1.95</v>
      </c>
      <c r="I445" s="4">
        <v>0</v>
      </c>
    </row>
    <row r="446" spans="1:9" x14ac:dyDescent="0.15">
      <c r="A446" s="2">
        <v>20</v>
      </c>
      <c r="B446" s="1" t="s">
        <v>95</v>
      </c>
      <c r="C446" s="4">
        <v>60</v>
      </c>
      <c r="D446" s="8">
        <v>1.65</v>
      </c>
      <c r="E446" s="4">
        <v>0</v>
      </c>
      <c r="F446" s="8">
        <v>0</v>
      </c>
      <c r="G446" s="4">
        <v>60</v>
      </c>
      <c r="H446" s="8">
        <v>2.17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99</v>
      </c>
      <c r="C449" s="4">
        <v>2669</v>
      </c>
      <c r="D449" s="8">
        <v>11.89</v>
      </c>
      <c r="E449" s="4">
        <v>2176</v>
      </c>
      <c r="F449" s="8">
        <v>23.09</v>
      </c>
      <c r="G449" s="4">
        <v>492</v>
      </c>
      <c r="H449" s="8">
        <v>3.78</v>
      </c>
      <c r="I449" s="4">
        <v>1</v>
      </c>
    </row>
    <row r="450" spans="1:9" x14ac:dyDescent="0.15">
      <c r="A450" s="2">
        <v>2</v>
      </c>
      <c r="B450" s="1" t="s">
        <v>96</v>
      </c>
      <c r="C450" s="4">
        <v>2529</v>
      </c>
      <c r="D450" s="8">
        <v>11.26</v>
      </c>
      <c r="E450" s="4">
        <v>1159</v>
      </c>
      <c r="F450" s="8">
        <v>12.3</v>
      </c>
      <c r="G450" s="4">
        <v>1369</v>
      </c>
      <c r="H450" s="8">
        <v>10.52</v>
      </c>
      <c r="I450" s="4">
        <v>1</v>
      </c>
    </row>
    <row r="451" spans="1:9" x14ac:dyDescent="0.15">
      <c r="A451" s="2">
        <v>3</v>
      </c>
      <c r="B451" s="1" t="s">
        <v>100</v>
      </c>
      <c r="C451" s="4">
        <v>2008</v>
      </c>
      <c r="D451" s="8">
        <v>8.94</v>
      </c>
      <c r="E451" s="4">
        <v>1486</v>
      </c>
      <c r="F451" s="8">
        <v>15.77</v>
      </c>
      <c r="G451" s="4">
        <v>522</v>
      </c>
      <c r="H451" s="8">
        <v>4.01</v>
      </c>
      <c r="I451" s="4">
        <v>0</v>
      </c>
    </row>
    <row r="452" spans="1:9" x14ac:dyDescent="0.15">
      <c r="A452" s="2">
        <v>4</v>
      </c>
      <c r="B452" s="1" t="s">
        <v>94</v>
      </c>
      <c r="C452" s="4">
        <v>1275</v>
      </c>
      <c r="D452" s="8">
        <v>5.68</v>
      </c>
      <c r="E452" s="4">
        <v>548</v>
      </c>
      <c r="F452" s="8">
        <v>5.81</v>
      </c>
      <c r="G452" s="4">
        <v>727</v>
      </c>
      <c r="H452" s="8">
        <v>5.59</v>
      </c>
      <c r="I452" s="4">
        <v>0</v>
      </c>
    </row>
    <row r="453" spans="1:9" x14ac:dyDescent="0.15">
      <c r="A453" s="2">
        <v>5</v>
      </c>
      <c r="B453" s="1" t="s">
        <v>86</v>
      </c>
      <c r="C453" s="4">
        <v>1079</v>
      </c>
      <c r="D453" s="8">
        <v>4.8099999999999996</v>
      </c>
      <c r="E453" s="4">
        <v>247</v>
      </c>
      <c r="F453" s="8">
        <v>2.62</v>
      </c>
      <c r="G453" s="4">
        <v>832</v>
      </c>
      <c r="H453" s="8">
        <v>6.39</v>
      </c>
      <c r="I453" s="4">
        <v>0</v>
      </c>
    </row>
    <row r="454" spans="1:9" x14ac:dyDescent="0.15">
      <c r="A454" s="2">
        <v>6</v>
      </c>
      <c r="B454" s="1" t="s">
        <v>85</v>
      </c>
      <c r="C454" s="4">
        <v>1031</v>
      </c>
      <c r="D454" s="8">
        <v>4.59</v>
      </c>
      <c r="E454" s="4">
        <v>153</v>
      </c>
      <c r="F454" s="8">
        <v>1.62</v>
      </c>
      <c r="G454" s="4">
        <v>878</v>
      </c>
      <c r="H454" s="8">
        <v>6.75</v>
      </c>
      <c r="I454" s="4">
        <v>0</v>
      </c>
    </row>
    <row r="455" spans="1:9" x14ac:dyDescent="0.15">
      <c r="A455" s="2">
        <v>7</v>
      </c>
      <c r="B455" s="1" t="s">
        <v>92</v>
      </c>
      <c r="C455" s="4">
        <v>988</v>
      </c>
      <c r="D455" s="8">
        <v>4.4000000000000004</v>
      </c>
      <c r="E455" s="4">
        <v>512</v>
      </c>
      <c r="F455" s="8">
        <v>5.43</v>
      </c>
      <c r="G455" s="4">
        <v>475</v>
      </c>
      <c r="H455" s="8">
        <v>3.65</v>
      </c>
      <c r="I455" s="4">
        <v>1</v>
      </c>
    </row>
    <row r="456" spans="1:9" x14ac:dyDescent="0.15">
      <c r="A456" s="2">
        <v>8</v>
      </c>
      <c r="B456" s="1" t="s">
        <v>87</v>
      </c>
      <c r="C456" s="4">
        <v>948</v>
      </c>
      <c r="D456" s="8">
        <v>4.22</v>
      </c>
      <c r="E456" s="4">
        <v>61</v>
      </c>
      <c r="F456" s="8">
        <v>0.65</v>
      </c>
      <c r="G456" s="4">
        <v>887</v>
      </c>
      <c r="H456" s="8">
        <v>6.82</v>
      </c>
      <c r="I456" s="4">
        <v>0</v>
      </c>
    </row>
    <row r="457" spans="1:9" x14ac:dyDescent="0.15">
      <c r="A457" s="2">
        <v>9</v>
      </c>
      <c r="B457" s="1" t="s">
        <v>103</v>
      </c>
      <c r="C457" s="4">
        <v>871</v>
      </c>
      <c r="D457" s="8">
        <v>3.88</v>
      </c>
      <c r="E457" s="4">
        <v>716</v>
      </c>
      <c r="F457" s="8">
        <v>7.6</v>
      </c>
      <c r="G457" s="4">
        <v>155</v>
      </c>
      <c r="H457" s="8">
        <v>1.19</v>
      </c>
      <c r="I457" s="4">
        <v>0</v>
      </c>
    </row>
    <row r="458" spans="1:9" x14ac:dyDescent="0.15">
      <c r="A458" s="2">
        <v>10</v>
      </c>
      <c r="B458" s="1" t="s">
        <v>102</v>
      </c>
      <c r="C458" s="4">
        <v>692</v>
      </c>
      <c r="D458" s="8">
        <v>3.08</v>
      </c>
      <c r="E458" s="4">
        <v>444</v>
      </c>
      <c r="F458" s="8">
        <v>4.71</v>
      </c>
      <c r="G458" s="4">
        <v>245</v>
      </c>
      <c r="H458" s="8">
        <v>1.88</v>
      </c>
      <c r="I458" s="4">
        <v>3</v>
      </c>
    </row>
    <row r="459" spans="1:9" x14ac:dyDescent="0.15">
      <c r="A459" s="2">
        <v>11</v>
      </c>
      <c r="B459" s="1" t="s">
        <v>97</v>
      </c>
      <c r="C459" s="4">
        <v>563</v>
      </c>
      <c r="D459" s="8">
        <v>2.5099999999999998</v>
      </c>
      <c r="E459" s="4">
        <v>304</v>
      </c>
      <c r="F459" s="8">
        <v>3.23</v>
      </c>
      <c r="G459" s="4">
        <v>258</v>
      </c>
      <c r="H459" s="8">
        <v>1.98</v>
      </c>
      <c r="I459" s="4">
        <v>1</v>
      </c>
    </row>
    <row r="460" spans="1:9" x14ac:dyDescent="0.15">
      <c r="A460" s="2">
        <v>12</v>
      </c>
      <c r="B460" s="1" t="s">
        <v>91</v>
      </c>
      <c r="C460" s="4">
        <v>537</v>
      </c>
      <c r="D460" s="8">
        <v>2.39</v>
      </c>
      <c r="E460" s="4">
        <v>189</v>
      </c>
      <c r="F460" s="8">
        <v>2.0099999999999998</v>
      </c>
      <c r="G460" s="4">
        <v>348</v>
      </c>
      <c r="H460" s="8">
        <v>2.67</v>
      </c>
      <c r="I460" s="4">
        <v>0</v>
      </c>
    </row>
    <row r="461" spans="1:9" x14ac:dyDescent="0.15">
      <c r="A461" s="2">
        <v>13</v>
      </c>
      <c r="B461" s="1" t="s">
        <v>95</v>
      </c>
      <c r="C461" s="4">
        <v>502</v>
      </c>
      <c r="D461" s="8">
        <v>2.2400000000000002</v>
      </c>
      <c r="E461" s="4">
        <v>47</v>
      </c>
      <c r="F461" s="8">
        <v>0.5</v>
      </c>
      <c r="G461" s="4">
        <v>455</v>
      </c>
      <c r="H461" s="8">
        <v>3.5</v>
      </c>
      <c r="I461" s="4">
        <v>0</v>
      </c>
    </row>
    <row r="462" spans="1:9" x14ac:dyDescent="0.15">
      <c r="A462" s="2">
        <v>14</v>
      </c>
      <c r="B462" s="1" t="s">
        <v>98</v>
      </c>
      <c r="C462" s="4">
        <v>482</v>
      </c>
      <c r="D462" s="8">
        <v>2.15</v>
      </c>
      <c r="E462" s="4">
        <v>128</v>
      </c>
      <c r="F462" s="8">
        <v>1.36</v>
      </c>
      <c r="G462" s="4">
        <v>354</v>
      </c>
      <c r="H462" s="8">
        <v>2.72</v>
      </c>
      <c r="I462" s="4">
        <v>0</v>
      </c>
    </row>
    <row r="463" spans="1:9" x14ac:dyDescent="0.15">
      <c r="A463" s="2">
        <v>15</v>
      </c>
      <c r="B463" s="1" t="s">
        <v>88</v>
      </c>
      <c r="C463" s="4">
        <v>450</v>
      </c>
      <c r="D463" s="8">
        <v>2</v>
      </c>
      <c r="E463" s="4">
        <v>100</v>
      </c>
      <c r="F463" s="8">
        <v>1.06</v>
      </c>
      <c r="G463" s="4">
        <v>350</v>
      </c>
      <c r="H463" s="8">
        <v>2.69</v>
      </c>
      <c r="I463" s="4">
        <v>0</v>
      </c>
    </row>
    <row r="464" spans="1:9" x14ac:dyDescent="0.15">
      <c r="A464" s="2">
        <v>16</v>
      </c>
      <c r="B464" s="1" t="s">
        <v>93</v>
      </c>
      <c r="C464" s="4">
        <v>436</v>
      </c>
      <c r="D464" s="8">
        <v>1.94</v>
      </c>
      <c r="E464" s="4">
        <v>141</v>
      </c>
      <c r="F464" s="8">
        <v>1.5</v>
      </c>
      <c r="G464" s="4">
        <v>295</v>
      </c>
      <c r="H464" s="8">
        <v>2.27</v>
      </c>
      <c r="I464" s="4">
        <v>0</v>
      </c>
    </row>
    <row r="465" spans="1:9" x14ac:dyDescent="0.15">
      <c r="A465" s="2">
        <v>17</v>
      </c>
      <c r="B465" s="1" t="s">
        <v>89</v>
      </c>
      <c r="C465" s="4">
        <v>356</v>
      </c>
      <c r="D465" s="8">
        <v>1.59</v>
      </c>
      <c r="E465" s="4">
        <v>63</v>
      </c>
      <c r="F465" s="8">
        <v>0.67</v>
      </c>
      <c r="G465" s="4">
        <v>293</v>
      </c>
      <c r="H465" s="8">
        <v>2.25</v>
      </c>
      <c r="I465" s="4">
        <v>0</v>
      </c>
    </row>
    <row r="466" spans="1:9" x14ac:dyDescent="0.15">
      <c r="A466" s="2">
        <v>18</v>
      </c>
      <c r="B466" s="1" t="s">
        <v>108</v>
      </c>
      <c r="C466" s="4">
        <v>282</v>
      </c>
      <c r="D466" s="8">
        <v>1.26</v>
      </c>
      <c r="E466" s="4">
        <v>9</v>
      </c>
      <c r="F466" s="8">
        <v>0.1</v>
      </c>
      <c r="G466" s="4">
        <v>271</v>
      </c>
      <c r="H466" s="8">
        <v>2.08</v>
      </c>
      <c r="I466" s="4">
        <v>2</v>
      </c>
    </row>
    <row r="467" spans="1:9" x14ac:dyDescent="0.15">
      <c r="A467" s="2">
        <v>18</v>
      </c>
      <c r="B467" s="1" t="s">
        <v>104</v>
      </c>
      <c r="C467" s="4">
        <v>282</v>
      </c>
      <c r="D467" s="8">
        <v>1.26</v>
      </c>
      <c r="E467" s="4">
        <v>17</v>
      </c>
      <c r="F467" s="8">
        <v>0.18</v>
      </c>
      <c r="G467" s="4">
        <v>263</v>
      </c>
      <c r="H467" s="8">
        <v>2.02</v>
      </c>
      <c r="I467" s="4">
        <v>2</v>
      </c>
    </row>
    <row r="468" spans="1:9" x14ac:dyDescent="0.15">
      <c r="A468" s="2">
        <v>20</v>
      </c>
      <c r="B468" s="1" t="s">
        <v>101</v>
      </c>
      <c r="C468" s="4">
        <v>241</v>
      </c>
      <c r="D468" s="8">
        <v>1.07</v>
      </c>
      <c r="E468" s="4">
        <v>84</v>
      </c>
      <c r="F468" s="8">
        <v>0.89</v>
      </c>
      <c r="G468" s="4">
        <v>156</v>
      </c>
      <c r="H468" s="8">
        <v>1.2</v>
      </c>
      <c r="I468" s="4">
        <v>1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99</v>
      </c>
      <c r="C471" s="4">
        <v>785</v>
      </c>
      <c r="D471" s="8">
        <v>14.14</v>
      </c>
      <c r="E471" s="4">
        <v>662</v>
      </c>
      <c r="F471" s="8">
        <v>28.33</v>
      </c>
      <c r="G471" s="4">
        <v>123</v>
      </c>
      <c r="H471" s="8">
        <v>3.83</v>
      </c>
      <c r="I471" s="4">
        <v>0</v>
      </c>
    </row>
    <row r="472" spans="1:9" x14ac:dyDescent="0.15">
      <c r="A472" s="2">
        <v>2</v>
      </c>
      <c r="B472" s="1" t="s">
        <v>96</v>
      </c>
      <c r="C472" s="4">
        <v>557</v>
      </c>
      <c r="D472" s="8">
        <v>10.029999999999999</v>
      </c>
      <c r="E472" s="4">
        <v>330</v>
      </c>
      <c r="F472" s="8">
        <v>14.12</v>
      </c>
      <c r="G472" s="4">
        <v>226</v>
      </c>
      <c r="H472" s="8">
        <v>7.04</v>
      </c>
      <c r="I472" s="4">
        <v>1</v>
      </c>
    </row>
    <row r="473" spans="1:9" x14ac:dyDescent="0.15">
      <c r="A473" s="2">
        <v>3</v>
      </c>
      <c r="B473" s="1" t="s">
        <v>100</v>
      </c>
      <c r="C473" s="4">
        <v>432</v>
      </c>
      <c r="D473" s="8">
        <v>7.78</v>
      </c>
      <c r="E473" s="4">
        <v>345</v>
      </c>
      <c r="F473" s="8">
        <v>14.76</v>
      </c>
      <c r="G473" s="4">
        <v>87</v>
      </c>
      <c r="H473" s="8">
        <v>2.71</v>
      </c>
      <c r="I473" s="4">
        <v>0</v>
      </c>
    </row>
    <row r="474" spans="1:9" x14ac:dyDescent="0.15">
      <c r="A474" s="2">
        <v>4</v>
      </c>
      <c r="B474" s="1" t="s">
        <v>87</v>
      </c>
      <c r="C474" s="4">
        <v>323</v>
      </c>
      <c r="D474" s="8">
        <v>5.82</v>
      </c>
      <c r="E474" s="4">
        <v>12</v>
      </c>
      <c r="F474" s="8">
        <v>0.51</v>
      </c>
      <c r="G474" s="4">
        <v>311</v>
      </c>
      <c r="H474" s="8">
        <v>9.69</v>
      </c>
      <c r="I474" s="4">
        <v>0</v>
      </c>
    </row>
    <row r="475" spans="1:9" x14ac:dyDescent="0.15">
      <c r="A475" s="2">
        <v>5</v>
      </c>
      <c r="B475" s="1" t="s">
        <v>94</v>
      </c>
      <c r="C475" s="4">
        <v>319</v>
      </c>
      <c r="D475" s="8">
        <v>5.74</v>
      </c>
      <c r="E475" s="4">
        <v>148</v>
      </c>
      <c r="F475" s="8">
        <v>6.33</v>
      </c>
      <c r="G475" s="4">
        <v>171</v>
      </c>
      <c r="H475" s="8">
        <v>5.33</v>
      </c>
      <c r="I475" s="4">
        <v>0</v>
      </c>
    </row>
    <row r="476" spans="1:9" x14ac:dyDescent="0.15">
      <c r="A476" s="2">
        <v>6</v>
      </c>
      <c r="B476" s="1" t="s">
        <v>92</v>
      </c>
      <c r="C476" s="4">
        <v>291</v>
      </c>
      <c r="D476" s="8">
        <v>5.24</v>
      </c>
      <c r="E476" s="4">
        <v>140</v>
      </c>
      <c r="F476" s="8">
        <v>5.99</v>
      </c>
      <c r="G476" s="4">
        <v>151</v>
      </c>
      <c r="H476" s="8">
        <v>4.7</v>
      </c>
      <c r="I476" s="4">
        <v>0</v>
      </c>
    </row>
    <row r="477" spans="1:9" x14ac:dyDescent="0.15">
      <c r="A477" s="2">
        <v>7</v>
      </c>
      <c r="B477" s="1" t="s">
        <v>86</v>
      </c>
      <c r="C477" s="4">
        <v>273</v>
      </c>
      <c r="D477" s="8">
        <v>4.92</v>
      </c>
      <c r="E477" s="4">
        <v>50</v>
      </c>
      <c r="F477" s="8">
        <v>2.14</v>
      </c>
      <c r="G477" s="4">
        <v>223</v>
      </c>
      <c r="H477" s="8">
        <v>6.94</v>
      </c>
      <c r="I477" s="4">
        <v>0</v>
      </c>
    </row>
    <row r="478" spans="1:9" x14ac:dyDescent="0.15">
      <c r="A478" s="2">
        <v>8</v>
      </c>
      <c r="B478" s="1" t="s">
        <v>85</v>
      </c>
      <c r="C478" s="4">
        <v>230</v>
      </c>
      <c r="D478" s="8">
        <v>4.1399999999999997</v>
      </c>
      <c r="E478" s="4">
        <v>33</v>
      </c>
      <c r="F478" s="8">
        <v>1.41</v>
      </c>
      <c r="G478" s="4">
        <v>197</v>
      </c>
      <c r="H478" s="8">
        <v>6.14</v>
      </c>
      <c r="I478" s="4">
        <v>0</v>
      </c>
    </row>
    <row r="479" spans="1:9" x14ac:dyDescent="0.15">
      <c r="A479" s="2">
        <v>9</v>
      </c>
      <c r="B479" s="1" t="s">
        <v>91</v>
      </c>
      <c r="C479" s="4">
        <v>145</v>
      </c>
      <c r="D479" s="8">
        <v>2.61</v>
      </c>
      <c r="E479" s="4">
        <v>43</v>
      </c>
      <c r="F479" s="8">
        <v>1.84</v>
      </c>
      <c r="G479" s="4">
        <v>102</v>
      </c>
      <c r="H479" s="8">
        <v>3.18</v>
      </c>
      <c r="I479" s="4">
        <v>0</v>
      </c>
    </row>
    <row r="480" spans="1:9" x14ac:dyDescent="0.15">
      <c r="A480" s="2">
        <v>10</v>
      </c>
      <c r="B480" s="1" t="s">
        <v>103</v>
      </c>
      <c r="C480" s="4">
        <v>141</v>
      </c>
      <c r="D480" s="8">
        <v>2.54</v>
      </c>
      <c r="E480" s="4">
        <v>120</v>
      </c>
      <c r="F480" s="8">
        <v>5.13</v>
      </c>
      <c r="G480" s="4">
        <v>21</v>
      </c>
      <c r="H480" s="8">
        <v>0.65</v>
      </c>
      <c r="I480" s="4">
        <v>0</v>
      </c>
    </row>
    <row r="481" spans="1:9" x14ac:dyDescent="0.15">
      <c r="A481" s="2">
        <v>11</v>
      </c>
      <c r="B481" s="1" t="s">
        <v>88</v>
      </c>
      <c r="C481" s="4">
        <v>138</v>
      </c>
      <c r="D481" s="8">
        <v>2.4900000000000002</v>
      </c>
      <c r="E481" s="4">
        <v>21</v>
      </c>
      <c r="F481" s="8">
        <v>0.9</v>
      </c>
      <c r="G481" s="4">
        <v>117</v>
      </c>
      <c r="H481" s="8">
        <v>3.64</v>
      </c>
      <c r="I481" s="4">
        <v>0</v>
      </c>
    </row>
    <row r="482" spans="1:9" x14ac:dyDescent="0.15">
      <c r="A482" s="2">
        <v>12</v>
      </c>
      <c r="B482" s="1" t="s">
        <v>97</v>
      </c>
      <c r="C482" s="4">
        <v>125</v>
      </c>
      <c r="D482" s="8">
        <v>2.25</v>
      </c>
      <c r="E482" s="4">
        <v>95</v>
      </c>
      <c r="F482" s="8">
        <v>4.07</v>
      </c>
      <c r="G482" s="4">
        <v>30</v>
      </c>
      <c r="H482" s="8">
        <v>0.93</v>
      </c>
      <c r="I482" s="4">
        <v>0</v>
      </c>
    </row>
    <row r="483" spans="1:9" x14ac:dyDescent="0.15">
      <c r="A483" s="2">
        <v>13</v>
      </c>
      <c r="B483" s="1" t="s">
        <v>95</v>
      </c>
      <c r="C483" s="4">
        <v>95</v>
      </c>
      <c r="D483" s="8">
        <v>1.71</v>
      </c>
      <c r="E483" s="4">
        <v>11</v>
      </c>
      <c r="F483" s="8">
        <v>0.47</v>
      </c>
      <c r="G483" s="4">
        <v>84</v>
      </c>
      <c r="H483" s="8">
        <v>2.62</v>
      </c>
      <c r="I483" s="4">
        <v>0</v>
      </c>
    </row>
    <row r="484" spans="1:9" x14ac:dyDescent="0.15">
      <c r="A484" s="2">
        <v>14</v>
      </c>
      <c r="B484" s="1" t="s">
        <v>98</v>
      </c>
      <c r="C484" s="4">
        <v>94</v>
      </c>
      <c r="D484" s="8">
        <v>1.69</v>
      </c>
      <c r="E484" s="4">
        <v>18</v>
      </c>
      <c r="F484" s="8">
        <v>0.77</v>
      </c>
      <c r="G484" s="4">
        <v>76</v>
      </c>
      <c r="H484" s="8">
        <v>2.37</v>
      </c>
      <c r="I484" s="4">
        <v>0</v>
      </c>
    </row>
    <row r="485" spans="1:9" x14ac:dyDescent="0.15">
      <c r="A485" s="2">
        <v>14</v>
      </c>
      <c r="B485" s="1" t="s">
        <v>102</v>
      </c>
      <c r="C485" s="4">
        <v>94</v>
      </c>
      <c r="D485" s="8">
        <v>1.69</v>
      </c>
      <c r="E485" s="4">
        <v>62</v>
      </c>
      <c r="F485" s="8">
        <v>2.65</v>
      </c>
      <c r="G485" s="4">
        <v>32</v>
      </c>
      <c r="H485" s="8">
        <v>1</v>
      </c>
      <c r="I485" s="4">
        <v>0</v>
      </c>
    </row>
    <row r="486" spans="1:9" x14ac:dyDescent="0.15">
      <c r="A486" s="2">
        <v>14</v>
      </c>
      <c r="B486" s="1" t="s">
        <v>104</v>
      </c>
      <c r="C486" s="4">
        <v>94</v>
      </c>
      <c r="D486" s="8">
        <v>1.69</v>
      </c>
      <c r="E486" s="4">
        <v>7</v>
      </c>
      <c r="F486" s="8">
        <v>0.3</v>
      </c>
      <c r="G486" s="4">
        <v>86</v>
      </c>
      <c r="H486" s="8">
        <v>2.68</v>
      </c>
      <c r="I486" s="4">
        <v>1</v>
      </c>
    </row>
    <row r="487" spans="1:9" x14ac:dyDescent="0.15">
      <c r="A487" s="2">
        <v>17</v>
      </c>
      <c r="B487" s="1" t="s">
        <v>106</v>
      </c>
      <c r="C487" s="4">
        <v>85</v>
      </c>
      <c r="D487" s="8">
        <v>1.53</v>
      </c>
      <c r="E487" s="4">
        <v>14</v>
      </c>
      <c r="F487" s="8">
        <v>0.6</v>
      </c>
      <c r="G487" s="4">
        <v>71</v>
      </c>
      <c r="H487" s="8">
        <v>2.21</v>
      </c>
      <c r="I487" s="4">
        <v>0</v>
      </c>
    </row>
    <row r="488" spans="1:9" x14ac:dyDescent="0.15">
      <c r="A488" s="2">
        <v>17</v>
      </c>
      <c r="B488" s="1" t="s">
        <v>93</v>
      </c>
      <c r="C488" s="4">
        <v>85</v>
      </c>
      <c r="D488" s="8">
        <v>1.53</v>
      </c>
      <c r="E488" s="4">
        <v>28</v>
      </c>
      <c r="F488" s="8">
        <v>1.2</v>
      </c>
      <c r="G488" s="4">
        <v>57</v>
      </c>
      <c r="H488" s="8">
        <v>1.78</v>
      </c>
      <c r="I488" s="4">
        <v>0</v>
      </c>
    </row>
    <row r="489" spans="1:9" x14ac:dyDescent="0.15">
      <c r="A489" s="2">
        <v>19</v>
      </c>
      <c r="B489" s="1" t="s">
        <v>89</v>
      </c>
      <c r="C489" s="4">
        <v>76</v>
      </c>
      <c r="D489" s="8">
        <v>1.37</v>
      </c>
      <c r="E489" s="4">
        <v>10</v>
      </c>
      <c r="F489" s="8">
        <v>0.43</v>
      </c>
      <c r="G489" s="4">
        <v>66</v>
      </c>
      <c r="H489" s="8">
        <v>2.06</v>
      </c>
      <c r="I489" s="4">
        <v>0</v>
      </c>
    </row>
    <row r="490" spans="1:9" x14ac:dyDescent="0.15">
      <c r="A490" s="2">
        <v>20</v>
      </c>
      <c r="B490" s="1" t="s">
        <v>108</v>
      </c>
      <c r="C490" s="4">
        <v>66</v>
      </c>
      <c r="D490" s="8">
        <v>1.19</v>
      </c>
      <c r="E490" s="4">
        <v>1</v>
      </c>
      <c r="F490" s="8">
        <v>0.04</v>
      </c>
      <c r="G490" s="4">
        <v>64</v>
      </c>
      <c r="H490" s="8">
        <v>1.99</v>
      </c>
      <c r="I490" s="4">
        <v>1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99</v>
      </c>
      <c r="C493" s="4">
        <v>337</v>
      </c>
      <c r="D493" s="8">
        <v>12.71</v>
      </c>
      <c r="E493" s="4">
        <v>289</v>
      </c>
      <c r="F493" s="8">
        <v>23.06</v>
      </c>
      <c r="G493" s="4">
        <v>48</v>
      </c>
      <c r="H493" s="8">
        <v>3.43</v>
      </c>
      <c r="I493" s="4">
        <v>0</v>
      </c>
    </row>
    <row r="494" spans="1:9" x14ac:dyDescent="0.15">
      <c r="A494" s="2">
        <v>2</v>
      </c>
      <c r="B494" s="1" t="s">
        <v>100</v>
      </c>
      <c r="C494" s="4">
        <v>275</v>
      </c>
      <c r="D494" s="8">
        <v>10.37</v>
      </c>
      <c r="E494" s="4">
        <v>222</v>
      </c>
      <c r="F494" s="8">
        <v>17.72</v>
      </c>
      <c r="G494" s="4">
        <v>53</v>
      </c>
      <c r="H494" s="8">
        <v>3.79</v>
      </c>
      <c r="I494" s="4">
        <v>0</v>
      </c>
    </row>
    <row r="495" spans="1:9" x14ac:dyDescent="0.15">
      <c r="A495" s="2">
        <v>3</v>
      </c>
      <c r="B495" s="1" t="s">
        <v>96</v>
      </c>
      <c r="C495" s="4">
        <v>272</v>
      </c>
      <c r="D495" s="8">
        <v>10.26</v>
      </c>
      <c r="E495" s="4">
        <v>143</v>
      </c>
      <c r="F495" s="8">
        <v>11.41</v>
      </c>
      <c r="G495" s="4">
        <v>129</v>
      </c>
      <c r="H495" s="8">
        <v>9.23</v>
      </c>
      <c r="I495" s="4">
        <v>0</v>
      </c>
    </row>
    <row r="496" spans="1:9" x14ac:dyDescent="0.15">
      <c r="A496" s="2">
        <v>4</v>
      </c>
      <c r="B496" s="1" t="s">
        <v>94</v>
      </c>
      <c r="C496" s="4">
        <v>164</v>
      </c>
      <c r="D496" s="8">
        <v>6.18</v>
      </c>
      <c r="E496" s="4">
        <v>76</v>
      </c>
      <c r="F496" s="8">
        <v>6.07</v>
      </c>
      <c r="G496" s="4">
        <v>88</v>
      </c>
      <c r="H496" s="8">
        <v>6.29</v>
      </c>
      <c r="I496" s="4">
        <v>0</v>
      </c>
    </row>
    <row r="497" spans="1:9" x14ac:dyDescent="0.15">
      <c r="A497" s="2">
        <v>5</v>
      </c>
      <c r="B497" s="1" t="s">
        <v>86</v>
      </c>
      <c r="C497" s="4">
        <v>141</v>
      </c>
      <c r="D497" s="8">
        <v>5.32</v>
      </c>
      <c r="E497" s="4">
        <v>34</v>
      </c>
      <c r="F497" s="8">
        <v>2.71</v>
      </c>
      <c r="G497" s="4">
        <v>107</v>
      </c>
      <c r="H497" s="8">
        <v>7.65</v>
      </c>
      <c r="I497" s="4">
        <v>0</v>
      </c>
    </row>
    <row r="498" spans="1:9" x14ac:dyDescent="0.15">
      <c r="A498" s="2">
        <v>5</v>
      </c>
      <c r="B498" s="1" t="s">
        <v>92</v>
      </c>
      <c r="C498" s="4">
        <v>141</v>
      </c>
      <c r="D498" s="8">
        <v>5.32</v>
      </c>
      <c r="E498" s="4">
        <v>77</v>
      </c>
      <c r="F498" s="8">
        <v>6.15</v>
      </c>
      <c r="G498" s="4">
        <v>64</v>
      </c>
      <c r="H498" s="8">
        <v>4.58</v>
      </c>
      <c r="I498" s="4">
        <v>0</v>
      </c>
    </row>
    <row r="499" spans="1:9" x14ac:dyDescent="0.15">
      <c r="A499" s="2">
        <v>7</v>
      </c>
      <c r="B499" s="1" t="s">
        <v>87</v>
      </c>
      <c r="C499" s="4">
        <v>125</v>
      </c>
      <c r="D499" s="8">
        <v>4.71</v>
      </c>
      <c r="E499" s="4">
        <v>11</v>
      </c>
      <c r="F499" s="8">
        <v>0.88</v>
      </c>
      <c r="G499" s="4">
        <v>114</v>
      </c>
      <c r="H499" s="8">
        <v>8.15</v>
      </c>
      <c r="I499" s="4">
        <v>0</v>
      </c>
    </row>
    <row r="500" spans="1:9" x14ac:dyDescent="0.15">
      <c r="A500" s="2">
        <v>8</v>
      </c>
      <c r="B500" s="1" t="s">
        <v>85</v>
      </c>
      <c r="C500" s="4">
        <v>113</v>
      </c>
      <c r="D500" s="8">
        <v>4.26</v>
      </c>
      <c r="E500" s="4">
        <v>19</v>
      </c>
      <c r="F500" s="8">
        <v>1.52</v>
      </c>
      <c r="G500" s="4">
        <v>94</v>
      </c>
      <c r="H500" s="8">
        <v>6.72</v>
      </c>
      <c r="I500" s="4">
        <v>0</v>
      </c>
    </row>
    <row r="501" spans="1:9" x14ac:dyDescent="0.15">
      <c r="A501" s="2">
        <v>9</v>
      </c>
      <c r="B501" s="1" t="s">
        <v>103</v>
      </c>
      <c r="C501" s="4">
        <v>90</v>
      </c>
      <c r="D501" s="8">
        <v>3.39</v>
      </c>
      <c r="E501" s="4">
        <v>76</v>
      </c>
      <c r="F501" s="8">
        <v>6.07</v>
      </c>
      <c r="G501" s="4">
        <v>14</v>
      </c>
      <c r="H501" s="8">
        <v>1</v>
      </c>
      <c r="I501" s="4">
        <v>0</v>
      </c>
    </row>
    <row r="502" spans="1:9" x14ac:dyDescent="0.15">
      <c r="A502" s="2">
        <v>10</v>
      </c>
      <c r="B502" s="1" t="s">
        <v>102</v>
      </c>
      <c r="C502" s="4">
        <v>69</v>
      </c>
      <c r="D502" s="8">
        <v>2.6</v>
      </c>
      <c r="E502" s="4">
        <v>45</v>
      </c>
      <c r="F502" s="8">
        <v>3.59</v>
      </c>
      <c r="G502" s="4">
        <v>24</v>
      </c>
      <c r="H502" s="8">
        <v>1.72</v>
      </c>
      <c r="I502" s="4">
        <v>0</v>
      </c>
    </row>
    <row r="503" spans="1:9" x14ac:dyDescent="0.15">
      <c r="A503" s="2">
        <v>11</v>
      </c>
      <c r="B503" s="1" t="s">
        <v>91</v>
      </c>
      <c r="C503" s="4">
        <v>64</v>
      </c>
      <c r="D503" s="8">
        <v>2.41</v>
      </c>
      <c r="E503" s="4">
        <v>30</v>
      </c>
      <c r="F503" s="8">
        <v>2.39</v>
      </c>
      <c r="G503" s="4">
        <v>34</v>
      </c>
      <c r="H503" s="8">
        <v>2.4300000000000002</v>
      </c>
      <c r="I503" s="4">
        <v>0</v>
      </c>
    </row>
    <row r="504" spans="1:9" x14ac:dyDescent="0.15">
      <c r="A504" s="2">
        <v>12</v>
      </c>
      <c r="B504" s="1" t="s">
        <v>95</v>
      </c>
      <c r="C504" s="4">
        <v>61</v>
      </c>
      <c r="D504" s="8">
        <v>2.2999999999999998</v>
      </c>
      <c r="E504" s="4">
        <v>6</v>
      </c>
      <c r="F504" s="8">
        <v>0.48</v>
      </c>
      <c r="G504" s="4">
        <v>55</v>
      </c>
      <c r="H504" s="8">
        <v>3.93</v>
      </c>
      <c r="I504" s="4">
        <v>0</v>
      </c>
    </row>
    <row r="505" spans="1:9" x14ac:dyDescent="0.15">
      <c r="A505" s="2">
        <v>13</v>
      </c>
      <c r="B505" s="1" t="s">
        <v>114</v>
      </c>
      <c r="C505" s="4">
        <v>59</v>
      </c>
      <c r="D505" s="8">
        <v>2.2200000000000002</v>
      </c>
      <c r="E505" s="4">
        <v>59</v>
      </c>
      <c r="F505" s="8">
        <v>4.71</v>
      </c>
      <c r="G505" s="4">
        <v>0</v>
      </c>
      <c r="H505" s="8">
        <v>0</v>
      </c>
      <c r="I505" s="4">
        <v>0</v>
      </c>
    </row>
    <row r="506" spans="1:9" x14ac:dyDescent="0.15">
      <c r="A506" s="2">
        <v>14</v>
      </c>
      <c r="B506" s="1" t="s">
        <v>88</v>
      </c>
      <c r="C506" s="4">
        <v>57</v>
      </c>
      <c r="D506" s="8">
        <v>2.15</v>
      </c>
      <c r="E506" s="4">
        <v>7</v>
      </c>
      <c r="F506" s="8">
        <v>0.56000000000000005</v>
      </c>
      <c r="G506" s="4">
        <v>50</v>
      </c>
      <c r="H506" s="8">
        <v>3.58</v>
      </c>
      <c r="I506" s="4">
        <v>0</v>
      </c>
    </row>
    <row r="507" spans="1:9" x14ac:dyDescent="0.15">
      <c r="A507" s="2">
        <v>15</v>
      </c>
      <c r="B507" s="1" t="s">
        <v>89</v>
      </c>
      <c r="C507" s="4">
        <v>55</v>
      </c>
      <c r="D507" s="8">
        <v>2.0699999999999998</v>
      </c>
      <c r="E507" s="4">
        <v>7</v>
      </c>
      <c r="F507" s="8">
        <v>0.56000000000000005</v>
      </c>
      <c r="G507" s="4">
        <v>48</v>
      </c>
      <c r="H507" s="8">
        <v>3.43</v>
      </c>
      <c r="I507" s="4">
        <v>0</v>
      </c>
    </row>
    <row r="508" spans="1:9" x14ac:dyDescent="0.15">
      <c r="A508" s="2">
        <v>16</v>
      </c>
      <c r="B508" s="1" t="s">
        <v>93</v>
      </c>
      <c r="C508" s="4">
        <v>46</v>
      </c>
      <c r="D508" s="8">
        <v>1.73</v>
      </c>
      <c r="E508" s="4">
        <v>16</v>
      </c>
      <c r="F508" s="8">
        <v>1.28</v>
      </c>
      <c r="G508" s="4">
        <v>30</v>
      </c>
      <c r="H508" s="8">
        <v>2.15</v>
      </c>
      <c r="I508" s="4">
        <v>0</v>
      </c>
    </row>
    <row r="509" spans="1:9" x14ac:dyDescent="0.15">
      <c r="A509" s="2">
        <v>16</v>
      </c>
      <c r="B509" s="1" t="s">
        <v>97</v>
      </c>
      <c r="C509" s="4">
        <v>46</v>
      </c>
      <c r="D509" s="8">
        <v>1.73</v>
      </c>
      <c r="E509" s="4">
        <v>28</v>
      </c>
      <c r="F509" s="8">
        <v>2.23</v>
      </c>
      <c r="G509" s="4">
        <v>18</v>
      </c>
      <c r="H509" s="8">
        <v>1.29</v>
      </c>
      <c r="I509" s="4">
        <v>0</v>
      </c>
    </row>
    <row r="510" spans="1:9" x14ac:dyDescent="0.15">
      <c r="A510" s="2">
        <v>18</v>
      </c>
      <c r="B510" s="1" t="s">
        <v>98</v>
      </c>
      <c r="C510" s="4">
        <v>44</v>
      </c>
      <c r="D510" s="8">
        <v>1.66</v>
      </c>
      <c r="E510" s="4">
        <v>12</v>
      </c>
      <c r="F510" s="8">
        <v>0.96</v>
      </c>
      <c r="G510" s="4">
        <v>32</v>
      </c>
      <c r="H510" s="8">
        <v>2.29</v>
      </c>
      <c r="I510" s="4">
        <v>0</v>
      </c>
    </row>
    <row r="511" spans="1:9" x14ac:dyDescent="0.15">
      <c r="A511" s="2">
        <v>19</v>
      </c>
      <c r="B511" s="1" t="s">
        <v>104</v>
      </c>
      <c r="C511" s="4">
        <v>29</v>
      </c>
      <c r="D511" s="8">
        <v>1.0900000000000001</v>
      </c>
      <c r="E511" s="4">
        <v>2</v>
      </c>
      <c r="F511" s="8">
        <v>0.16</v>
      </c>
      <c r="G511" s="4">
        <v>27</v>
      </c>
      <c r="H511" s="8">
        <v>1.93</v>
      </c>
      <c r="I511" s="4">
        <v>0</v>
      </c>
    </row>
    <row r="512" spans="1:9" x14ac:dyDescent="0.15">
      <c r="A512" s="2">
        <v>20</v>
      </c>
      <c r="B512" s="1" t="s">
        <v>106</v>
      </c>
      <c r="C512" s="4">
        <v>27</v>
      </c>
      <c r="D512" s="8">
        <v>1.02</v>
      </c>
      <c r="E512" s="4">
        <v>8</v>
      </c>
      <c r="F512" s="8">
        <v>0.64</v>
      </c>
      <c r="G512" s="4">
        <v>19</v>
      </c>
      <c r="H512" s="8">
        <v>1.36</v>
      </c>
      <c r="I512" s="4">
        <v>0</v>
      </c>
    </row>
    <row r="513" spans="1:9" x14ac:dyDescent="0.15">
      <c r="A513" s="2">
        <v>20</v>
      </c>
      <c r="B513" s="1" t="s">
        <v>116</v>
      </c>
      <c r="C513" s="4">
        <v>27</v>
      </c>
      <c r="D513" s="8">
        <v>1.02</v>
      </c>
      <c r="E513" s="4">
        <v>21</v>
      </c>
      <c r="F513" s="8">
        <v>1.68</v>
      </c>
      <c r="G513" s="4">
        <v>6</v>
      </c>
      <c r="H513" s="8">
        <v>0.43</v>
      </c>
      <c r="I513" s="4">
        <v>0</v>
      </c>
    </row>
    <row r="514" spans="1:9" x14ac:dyDescent="0.15">
      <c r="A514" s="1"/>
      <c r="C514" s="4"/>
      <c r="D514" s="8"/>
      <c r="E514" s="4"/>
      <c r="F514" s="8"/>
      <c r="G514" s="4"/>
      <c r="H514" s="8"/>
      <c r="I514" s="4"/>
    </row>
    <row r="515" spans="1:9" x14ac:dyDescent="0.15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15">
      <c r="A516" s="2">
        <v>1</v>
      </c>
      <c r="B516" s="1" t="s">
        <v>99</v>
      </c>
      <c r="C516" s="4">
        <v>592</v>
      </c>
      <c r="D516" s="8">
        <v>15.16</v>
      </c>
      <c r="E516" s="4">
        <v>454</v>
      </c>
      <c r="F516" s="8">
        <v>25.49</v>
      </c>
      <c r="G516" s="4">
        <v>138</v>
      </c>
      <c r="H516" s="8">
        <v>6.5</v>
      </c>
      <c r="I516" s="4">
        <v>0</v>
      </c>
    </row>
    <row r="517" spans="1:9" x14ac:dyDescent="0.15">
      <c r="A517" s="2">
        <v>2</v>
      </c>
      <c r="B517" s="1" t="s">
        <v>100</v>
      </c>
      <c r="C517" s="4">
        <v>374</v>
      </c>
      <c r="D517" s="8">
        <v>9.58</v>
      </c>
      <c r="E517" s="4">
        <v>275</v>
      </c>
      <c r="F517" s="8">
        <v>15.44</v>
      </c>
      <c r="G517" s="4">
        <v>99</v>
      </c>
      <c r="H517" s="8">
        <v>4.66</v>
      </c>
      <c r="I517" s="4">
        <v>0</v>
      </c>
    </row>
    <row r="518" spans="1:9" x14ac:dyDescent="0.15">
      <c r="A518" s="2">
        <v>3</v>
      </c>
      <c r="B518" s="1" t="s">
        <v>96</v>
      </c>
      <c r="C518" s="4">
        <v>369</v>
      </c>
      <c r="D518" s="8">
        <v>9.4499999999999993</v>
      </c>
      <c r="E518" s="4">
        <v>154</v>
      </c>
      <c r="F518" s="8">
        <v>8.65</v>
      </c>
      <c r="G518" s="4">
        <v>215</v>
      </c>
      <c r="H518" s="8">
        <v>10.130000000000001</v>
      </c>
      <c r="I518" s="4">
        <v>0</v>
      </c>
    </row>
    <row r="519" spans="1:9" x14ac:dyDescent="0.15">
      <c r="A519" s="2">
        <v>4</v>
      </c>
      <c r="B519" s="1" t="s">
        <v>94</v>
      </c>
      <c r="C519" s="4">
        <v>260</v>
      </c>
      <c r="D519" s="8">
        <v>6.66</v>
      </c>
      <c r="E519" s="4">
        <v>107</v>
      </c>
      <c r="F519" s="8">
        <v>6.01</v>
      </c>
      <c r="G519" s="4">
        <v>153</v>
      </c>
      <c r="H519" s="8">
        <v>7.21</v>
      </c>
      <c r="I519" s="4">
        <v>0</v>
      </c>
    </row>
    <row r="520" spans="1:9" x14ac:dyDescent="0.15">
      <c r="A520" s="2">
        <v>5</v>
      </c>
      <c r="B520" s="1" t="s">
        <v>103</v>
      </c>
      <c r="C520" s="4">
        <v>210</v>
      </c>
      <c r="D520" s="8">
        <v>5.38</v>
      </c>
      <c r="E520" s="4">
        <v>178</v>
      </c>
      <c r="F520" s="8">
        <v>9.99</v>
      </c>
      <c r="G520" s="4">
        <v>32</v>
      </c>
      <c r="H520" s="8">
        <v>1.51</v>
      </c>
      <c r="I520" s="4">
        <v>0</v>
      </c>
    </row>
    <row r="521" spans="1:9" x14ac:dyDescent="0.15">
      <c r="A521" s="2">
        <v>6</v>
      </c>
      <c r="B521" s="1" t="s">
        <v>92</v>
      </c>
      <c r="C521" s="4">
        <v>193</v>
      </c>
      <c r="D521" s="8">
        <v>4.9400000000000004</v>
      </c>
      <c r="E521" s="4">
        <v>104</v>
      </c>
      <c r="F521" s="8">
        <v>5.84</v>
      </c>
      <c r="G521" s="4">
        <v>89</v>
      </c>
      <c r="H521" s="8">
        <v>4.1900000000000004</v>
      </c>
      <c r="I521" s="4">
        <v>0</v>
      </c>
    </row>
    <row r="522" spans="1:9" x14ac:dyDescent="0.15">
      <c r="A522" s="2">
        <v>7</v>
      </c>
      <c r="B522" s="1" t="s">
        <v>85</v>
      </c>
      <c r="C522" s="4">
        <v>142</v>
      </c>
      <c r="D522" s="8">
        <v>3.64</v>
      </c>
      <c r="E522" s="4">
        <v>18</v>
      </c>
      <c r="F522" s="8">
        <v>1.01</v>
      </c>
      <c r="G522" s="4">
        <v>124</v>
      </c>
      <c r="H522" s="8">
        <v>5.84</v>
      </c>
      <c r="I522" s="4">
        <v>0</v>
      </c>
    </row>
    <row r="523" spans="1:9" x14ac:dyDescent="0.15">
      <c r="A523" s="2">
        <v>8</v>
      </c>
      <c r="B523" s="1" t="s">
        <v>102</v>
      </c>
      <c r="C523" s="4">
        <v>132</v>
      </c>
      <c r="D523" s="8">
        <v>3.38</v>
      </c>
      <c r="E523" s="4">
        <v>90</v>
      </c>
      <c r="F523" s="8">
        <v>5.05</v>
      </c>
      <c r="G523" s="4">
        <v>42</v>
      </c>
      <c r="H523" s="8">
        <v>1.98</v>
      </c>
      <c r="I523" s="4">
        <v>0</v>
      </c>
    </row>
    <row r="524" spans="1:9" x14ac:dyDescent="0.15">
      <c r="A524" s="2">
        <v>9</v>
      </c>
      <c r="B524" s="1" t="s">
        <v>95</v>
      </c>
      <c r="C524" s="4">
        <v>125</v>
      </c>
      <c r="D524" s="8">
        <v>3.2</v>
      </c>
      <c r="E524" s="4">
        <v>15</v>
      </c>
      <c r="F524" s="8">
        <v>0.84</v>
      </c>
      <c r="G524" s="4">
        <v>110</v>
      </c>
      <c r="H524" s="8">
        <v>5.18</v>
      </c>
      <c r="I524" s="4">
        <v>0</v>
      </c>
    </row>
    <row r="525" spans="1:9" x14ac:dyDescent="0.15">
      <c r="A525" s="2">
        <v>10</v>
      </c>
      <c r="B525" s="1" t="s">
        <v>91</v>
      </c>
      <c r="C525" s="4">
        <v>124</v>
      </c>
      <c r="D525" s="8">
        <v>3.18</v>
      </c>
      <c r="E525" s="4">
        <v>48</v>
      </c>
      <c r="F525" s="8">
        <v>2.7</v>
      </c>
      <c r="G525" s="4">
        <v>76</v>
      </c>
      <c r="H525" s="8">
        <v>3.58</v>
      </c>
      <c r="I525" s="4">
        <v>0</v>
      </c>
    </row>
    <row r="526" spans="1:9" x14ac:dyDescent="0.15">
      <c r="A526" s="2">
        <v>11</v>
      </c>
      <c r="B526" s="1" t="s">
        <v>86</v>
      </c>
      <c r="C526" s="4">
        <v>117</v>
      </c>
      <c r="D526" s="8">
        <v>3</v>
      </c>
      <c r="E526" s="4">
        <v>27</v>
      </c>
      <c r="F526" s="8">
        <v>1.52</v>
      </c>
      <c r="G526" s="4">
        <v>90</v>
      </c>
      <c r="H526" s="8">
        <v>4.24</v>
      </c>
      <c r="I526" s="4">
        <v>0</v>
      </c>
    </row>
    <row r="527" spans="1:9" x14ac:dyDescent="0.15">
      <c r="A527" s="2">
        <v>12</v>
      </c>
      <c r="B527" s="1" t="s">
        <v>87</v>
      </c>
      <c r="C527" s="4">
        <v>101</v>
      </c>
      <c r="D527" s="8">
        <v>2.59</v>
      </c>
      <c r="E527" s="4">
        <v>7</v>
      </c>
      <c r="F527" s="8">
        <v>0.39</v>
      </c>
      <c r="G527" s="4">
        <v>94</v>
      </c>
      <c r="H527" s="8">
        <v>4.43</v>
      </c>
      <c r="I527" s="4">
        <v>0</v>
      </c>
    </row>
    <row r="528" spans="1:9" x14ac:dyDescent="0.15">
      <c r="A528" s="2">
        <v>13</v>
      </c>
      <c r="B528" s="1" t="s">
        <v>97</v>
      </c>
      <c r="C528" s="4">
        <v>86</v>
      </c>
      <c r="D528" s="8">
        <v>2.2000000000000002</v>
      </c>
      <c r="E528" s="4">
        <v>62</v>
      </c>
      <c r="F528" s="8">
        <v>3.48</v>
      </c>
      <c r="G528" s="4">
        <v>24</v>
      </c>
      <c r="H528" s="8">
        <v>1.1299999999999999</v>
      </c>
      <c r="I528" s="4">
        <v>0</v>
      </c>
    </row>
    <row r="529" spans="1:9" x14ac:dyDescent="0.15">
      <c r="A529" s="2">
        <v>14</v>
      </c>
      <c r="B529" s="1" t="s">
        <v>88</v>
      </c>
      <c r="C529" s="4">
        <v>82</v>
      </c>
      <c r="D529" s="8">
        <v>2.1</v>
      </c>
      <c r="E529" s="4">
        <v>23</v>
      </c>
      <c r="F529" s="8">
        <v>1.29</v>
      </c>
      <c r="G529" s="4">
        <v>59</v>
      </c>
      <c r="H529" s="8">
        <v>2.78</v>
      </c>
      <c r="I529" s="4">
        <v>0</v>
      </c>
    </row>
    <row r="530" spans="1:9" x14ac:dyDescent="0.15">
      <c r="A530" s="2">
        <v>15</v>
      </c>
      <c r="B530" s="1" t="s">
        <v>93</v>
      </c>
      <c r="C530" s="4">
        <v>79</v>
      </c>
      <c r="D530" s="8">
        <v>2.02</v>
      </c>
      <c r="E530" s="4">
        <v>29</v>
      </c>
      <c r="F530" s="8">
        <v>1.63</v>
      </c>
      <c r="G530" s="4">
        <v>50</v>
      </c>
      <c r="H530" s="8">
        <v>2.36</v>
      </c>
      <c r="I530" s="4">
        <v>0</v>
      </c>
    </row>
    <row r="531" spans="1:9" x14ac:dyDescent="0.15">
      <c r="A531" s="2">
        <v>16</v>
      </c>
      <c r="B531" s="1" t="s">
        <v>98</v>
      </c>
      <c r="C531" s="4">
        <v>78</v>
      </c>
      <c r="D531" s="8">
        <v>2</v>
      </c>
      <c r="E531" s="4">
        <v>21</v>
      </c>
      <c r="F531" s="8">
        <v>1.18</v>
      </c>
      <c r="G531" s="4">
        <v>57</v>
      </c>
      <c r="H531" s="8">
        <v>2.68</v>
      </c>
      <c r="I531" s="4">
        <v>0</v>
      </c>
    </row>
    <row r="532" spans="1:9" x14ac:dyDescent="0.15">
      <c r="A532" s="2">
        <v>17</v>
      </c>
      <c r="B532" s="1" t="s">
        <v>89</v>
      </c>
      <c r="C532" s="4">
        <v>75</v>
      </c>
      <c r="D532" s="8">
        <v>1.92</v>
      </c>
      <c r="E532" s="4">
        <v>13</v>
      </c>
      <c r="F532" s="8">
        <v>0.73</v>
      </c>
      <c r="G532" s="4">
        <v>62</v>
      </c>
      <c r="H532" s="8">
        <v>2.92</v>
      </c>
      <c r="I532" s="4">
        <v>0</v>
      </c>
    </row>
    <row r="533" spans="1:9" x14ac:dyDescent="0.15">
      <c r="A533" s="2">
        <v>18</v>
      </c>
      <c r="B533" s="1" t="s">
        <v>101</v>
      </c>
      <c r="C533" s="4">
        <v>44</v>
      </c>
      <c r="D533" s="8">
        <v>1.1299999999999999</v>
      </c>
      <c r="E533" s="4">
        <v>15</v>
      </c>
      <c r="F533" s="8">
        <v>0.84</v>
      </c>
      <c r="G533" s="4">
        <v>29</v>
      </c>
      <c r="H533" s="8">
        <v>1.37</v>
      </c>
      <c r="I533" s="4">
        <v>0</v>
      </c>
    </row>
    <row r="534" spans="1:9" x14ac:dyDescent="0.15">
      <c r="A534" s="2">
        <v>19</v>
      </c>
      <c r="B534" s="1" t="s">
        <v>90</v>
      </c>
      <c r="C534" s="4">
        <v>43</v>
      </c>
      <c r="D534" s="8">
        <v>1.1000000000000001</v>
      </c>
      <c r="E534" s="4">
        <v>1</v>
      </c>
      <c r="F534" s="8">
        <v>0.06</v>
      </c>
      <c r="G534" s="4">
        <v>42</v>
      </c>
      <c r="H534" s="8">
        <v>1.98</v>
      </c>
      <c r="I534" s="4">
        <v>0</v>
      </c>
    </row>
    <row r="535" spans="1:9" x14ac:dyDescent="0.15">
      <c r="A535" s="2">
        <v>20</v>
      </c>
      <c r="B535" s="1" t="s">
        <v>108</v>
      </c>
      <c r="C535" s="4">
        <v>42</v>
      </c>
      <c r="D535" s="8">
        <v>1.08</v>
      </c>
      <c r="E535" s="4">
        <v>3</v>
      </c>
      <c r="F535" s="8">
        <v>0.17</v>
      </c>
      <c r="G535" s="4">
        <v>39</v>
      </c>
      <c r="H535" s="8">
        <v>1.84</v>
      </c>
      <c r="I535" s="4">
        <v>0</v>
      </c>
    </row>
    <row r="536" spans="1:9" x14ac:dyDescent="0.15">
      <c r="A536" s="1"/>
      <c r="C536" s="4"/>
      <c r="D536" s="8"/>
      <c r="E536" s="4"/>
      <c r="F536" s="8"/>
      <c r="G536" s="4"/>
      <c r="H536" s="8"/>
      <c r="I536" s="4"/>
    </row>
    <row r="537" spans="1:9" x14ac:dyDescent="0.15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15">
      <c r="A538" s="2">
        <v>1</v>
      </c>
      <c r="B538" s="1" t="s">
        <v>96</v>
      </c>
      <c r="C538" s="4">
        <v>481</v>
      </c>
      <c r="D538" s="8">
        <v>14.54</v>
      </c>
      <c r="E538" s="4">
        <v>210</v>
      </c>
      <c r="F538" s="8">
        <v>16.690000000000001</v>
      </c>
      <c r="G538" s="4">
        <v>271</v>
      </c>
      <c r="H538" s="8">
        <v>13.24</v>
      </c>
      <c r="I538" s="4">
        <v>0</v>
      </c>
    </row>
    <row r="539" spans="1:9" x14ac:dyDescent="0.15">
      <c r="A539" s="2">
        <v>2</v>
      </c>
      <c r="B539" s="1" t="s">
        <v>99</v>
      </c>
      <c r="C539" s="4">
        <v>329</v>
      </c>
      <c r="D539" s="8">
        <v>9.9499999999999993</v>
      </c>
      <c r="E539" s="4">
        <v>262</v>
      </c>
      <c r="F539" s="8">
        <v>20.83</v>
      </c>
      <c r="G539" s="4">
        <v>67</v>
      </c>
      <c r="H539" s="8">
        <v>3.27</v>
      </c>
      <c r="I539" s="4">
        <v>0</v>
      </c>
    </row>
    <row r="540" spans="1:9" x14ac:dyDescent="0.15">
      <c r="A540" s="2">
        <v>3</v>
      </c>
      <c r="B540" s="1" t="s">
        <v>100</v>
      </c>
      <c r="C540" s="4">
        <v>277</v>
      </c>
      <c r="D540" s="8">
        <v>8.3800000000000008</v>
      </c>
      <c r="E540" s="4">
        <v>189</v>
      </c>
      <c r="F540" s="8">
        <v>15.02</v>
      </c>
      <c r="G540" s="4">
        <v>88</v>
      </c>
      <c r="H540" s="8">
        <v>4.3</v>
      </c>
      <c r="I540" s="4">
        <v>0</v>
      </c>
    </row>
    <row r="541" spans="1:9" x14ac:dyDescent="0.15">
      <c r="A541" s="2">
        <v>4</v>
      </c>
      <c r="B541" s="1" t="s">
        <v>86</v>
      </c>
      <c r="C541" s="4">
        <v>186</v>
      </c>
      <c r="D541" s="8">
        <v>5.62</v>
      </c>
      <c r="E541" s="4">
        <v>50</v>
      </c>
      <c r="F541" s="8">
        <v>3.97</v>
      </c>
      <c r="G541" s="4">
        <v>136</v>
      </c>
      <c r="H541" s="8">
        <v>6.64</v>
      </c>
      <c r="I541" s="4">
        <v>0</v>
      </c>
    </row>
    <row r="542" spans="1:9" x14ac:dyDescent="0.15">
      <c r="A542" s="2">
        <v>5</v>
      </c>
      <c r="B542" s="1" t="s">
        <v>94</v>
      </c>
      <c r="C542" s="4">
        <v>160</v>
      </c>
      <c r="D542" s="8">
        <v>4.84</v>
      </c>
      <c r="E542" s="4">
        <v>55</v>
      </c>
      <c r="F542" s="8">
        <v>4.37</v>
      </c>
      <c r="G542" s="4">
        <v>105</v>
      </c>
      <c r="H542" s="8">
        <v>5.13</v>
      </c>
      <c r="I542" s="4">
        <v>0</v>
      </c>
    </row>
    <row r="543" spans="1:9" x14ac:dyDescent="0.15">
      <c r="A543" s="2">
        <v>6</v>
      </c>
      <c r="B543" s="1" t="s">
        <v>85</v>
      </c>
      <c r="C543" s="4">
        <v>142</v>
      </c>
      <c r="D543" s="8">
        <v>4.29</v>
      </c>
      <c r="E543" s="4">
        <v>19</v>
      </c>
      <c r="F543" s="8">
        <v>1.51</v>
      </c>
      <c r="G543" s="4">
        <v>123</v>
      </c>
      <c r="H543" s="8">
        <v>6.01</v>
      </c>
      <c r="I543" s="4">
        <v>0</v>
      </c>
    </row>
    <row r="544" spans="1:9" x14ac:dyDescent="0.15">
      <c r="A544" s="2">
        <v>7</v>
      </c>
      <c r="B544" s="1" t="s">
        <v>103</v>
      </c>
      <c r="C544" s="4">
        <v>116</v>
      </c>
      <c r="D544" s="8">
        <v>3.51</v>
      </c>
      <c r="E544" s="4">
        <v>90</v>
      </c>
      <c r="F544" s="8">
        <v>7.15</v>
      </c>
      <c r="G544" s="4">
        <v>26</v>
      </c>
      <c r="H544" s="8">
        <v>1.27</v>
      </c>
      <c r="I544" s="4">
        <v>0</v>
      </c>
    </row>
    <row r="545" spans="1:9" x14ac:dyDescent="0.15">
      <c r="A545" s="2">
        <v>8</v>
      </c>
      <c r="B545" s="1" t="s">
        <v>87</v>
      </c>
      <c r="C545" s="4">
        <v>112</v>
      </c>
      <c r="D545" s="8">
        <v>3.39</v>
      </c>
      <c r="E545" s="4">
        <v>10</v>
      </c>
      <c r="F545" s="8">
        <v>0.79</v>
      </c>
      <c r="G545" s="4">
        <v>102</v>
      </c>
      <c r="H545" s="8">
        <v>4.9800000000000004</v>
      </c>
      <c r="I545" s="4">
        <v>0</v>
      </c>
    </row>
    <row r="546" spans="1:9" x14ac:dyDescent="0.15">
      <c r="A546" s="2">
        <v>9</v>
      </c>
      <c r="B546" s="1" t="s">
        <v>92</v>
      </c>
      <c r="C546" s="4">
        <v>107</v>
      </c>
      <c r="D546" s="8">
        <v>3.24</v>
      </c>
      <c r="E546" s="4">
        <v>51</v>
      </c>
      <c r="F546" s="8">
        <v>4.05</v>
      </c>
      <c r="G546" s="4">
        <v>56</v>
      </c>
      <c r="H546" s="8">
        <v>2.74</v>
      </c>
      <c r="I546" s="4">
        <v>0</v>
      </c>
    </row>
    <row r="547" spans="1:9" x14ac:dyDescent="0.15">
      <c r="A547" s="2">
        <v>10</v>
      </c>
      <c r="B547" s="1" t="s">
        <v>88</v>
      </c>
      <c r="C547" s="4">
        <v>106</v>
      </c>
      <c r="D547" s="8">
        <v>3.21</v>
      </c>
      <c r="E547" s="4">
        <v>28</v>
      </c>
      <c r="F547" s="8">
        <v>2.23</v>
      </c>
      <c r="G547" s="4">
        <v>78</v>
      </c>
      <c r="H547" s="8">
        <v>3.81</v>
      </c>
      <c r="I547" s="4">
        <v>0</v>
      </c>
    </row>
    <row r="548" spans="1:9" x14ac:dyDescent="0.15">
      <c r="A548" s="2">
        <v>11</v>
      </c>
      <c r="B548" s="1" t="s">
        <v>89</v>
      </c>
      <c r="C548" s="4">
        <v>99</v>
      </c>
      <c r="D548" s="8">
        <v>2.99</v>
      </c>
      <c r="E548" s="4">
        <v>19</v>
      </c>
      <c r="F548" s="8">
        <v>1.51</v>
      </c>
      <c r="G548" s="4">
        <v>80</v>
      </c>
      <c r="H548" s="8">
        <v>3.91</v>
      </c>
      <c r="I548" s="4">
        <v>0</v>
      </c>
    </row>
    <row r="549" spans="1:9" x14ac:dyDescent="0.15">
      <c r="A549" s="2">
        <v>12</v>
      </c>
      <c r="B549" s="1" t="s">
        <v>102</v>
      </c>
      <c r="C549" s="4">
        <v>88</v>
      </c>
      <c r="D549" s="8">
        <v>2.66</v>
      </c>
      <c r="E549" s="4">
        <v>54</v>
      </c>
      <c r="F549" s="8">
        <v>4.29</v>
      </c>
      <c r="G549" s="4">
        <v>33</v>
      </c>
      <c r="H549" s="8">
        <v>1.61</v>
      </c>
      <c r="I549" s="4">
        <v>1</v>
      </c>
    </row>
    <row r="550" spans="1:9" x14ac:dyDescent="0.15">
      <c r="A550" s="2">
        <v>13</v>
      </c>
      <c r="B550" s="1" t="s">
        <v>91</v>
      </c>
      <c r="C550" s="4">
        <v>76</v>
      </c>
      <c r="D550" s="8">
        <v>2.2999999999999998</v>
      </c>
      <c r="E550" s="4">
        <v>23</v>
      </c>
      <c r="F550" s="8">
        <v>1.83</v>
      </c>
      <c r="G550" s="4">
        <v>53</v>
      </c>
      <c r="H550" s="8">
        <v>2.59</v>
      </c>
      <c r="I550" s="4">
        <v>0</v>
      </c>
    </row>
    <row r="551" spans="1:9" x14ac:dyDescent="0.15">
      <c r="A551" s="2">
        <v>14</v>
      </c>
      <c r="B551" s="1" t="s">
        <v>95</v>
      </c>
      <c r="C551" s="4">
        <v>66</v>
      </c>
      <c r="D551" s="8">
        <v>2</v>
      </c>
      <c r="E551" s="4">
        <v>5</v>
      </c>
      <c r="F551" s="8">
        <v>0.4</v>
      </c>
      <c r="G551" s="4">
        <v>61</v>
      </c>
      <c r="H551" s="8">
        <v>2.98</v>
      </c>
      <c r="I551" s="4">
        <v>0</v>
      </c>
    </row>
    <row r="552" spans="1:9" x14ac:dyDescent="0.15">
      <c r="A552" s="2">
        <v>15</v>
      </c>
      <c r="B552" s="1" t="s">
        <v>93</v>
      </c>
      <c r="C552" s="4">
        <v>64</v>
      </c>
      <c r="D552" s="8">
        <v>1.94</v>
      </c>
      <c r="E552" s="4">
        <v>20</v>
      </c>
      <c r="F552" s="8">
        <v>1.59</v>
      </c>
      <c r="G552" s="4">
        <v>44</v>
      </c>
      <c r="H552" s="8">
        <v>2.15</v>
      </c>
      <c r="I552" s="4">
        <v>0</v>
      </c>
    </row>
    <row r="553" spans="1:9" x14ac:dyDescent="0.15">
      <c r="A553" s="2">
        <v>16</v>
      </c>
      <c r="B553" s="1" t="s">
        <v>97</v>
      </c>
      <c r="C553" s="4">
        <v>59</v>
      </c>
      <c r="D553" s="8">
        <v>1.78</v>
      </c>
      <c r="E553" s="4">
        <v>28</v>
      </c>
      <c r="F553" s="8">
        <v>2.23</v>
      </c>
      <c r="G553" s="4">
        <v>31</v>
      </c>
      <c r="H553" s="8">
        <v>1.51</v>
      </c>
      <c r="I553" s="4">
        <v>0</v>
      </c>
    </row>
    <row r="554" spans="1:9" x14ac:dyDescent="0.15">
      <c r="A554" s="2">
        <v>17</v>
      </c>
      <c r="B554" s="1" t="s">
        <v>98</v>
      </c>
      <c r="C554" s="4">
        <v>54</v>
      </c>
      <c r="D554" s="8">
        <v>1.63</v>
      </c>
      <c r="E554" s="4">
        <v>16</v>
      </c>
      <c r="F554" s="8">
        <v>1.27</v>
      </c>
      <c r="G554" s="4">
        <v>38</v>
      </c>
      <c r="H554" s="8">
        <v>1.86</v>
      </c>
      <c r="I554" s="4">
        <v>0</v>
      </c>
    </row>
    <row r="555" spans="1:9" x14ac:dyDescent="0.15">
      <c r="A555" s="2">
        <v>18</v>
      </c>
      <c r="B555" s="1" t="s">
        <v>119</v>
      </c>
      <c r="C555" s="4">
        <v>50</v>
      </c>
      <c r="D555" s="8">
        <v>1.51</v>
      </c>
      <c r="E555" s="4">
        <v>2</v>
      </c>
      <c r="F555" s="8">
        <v>0.16</v>
      </c>
      <c r="G555" s="4">
        <v>48</v>
      </c>
      <c r="H555" s="8">
        <v>2.34</v>
      </c>
      <c r="I555" s="4">
        <v>0</v>
      </c>
    </row>
    <row r="556" spans="1:9" x14ac:dyDescent="0.15">
      <c r="A556" s="2">
        <v>19</v>
      </c>
      <c r="B556" s="1" t="s">
        <v>108</v>
      </c>
      <c r="C556" s="4">
        <v>45</v>
      </c>
      <c r="D556" s="8">
        <v>1.36</v>
      </c>
      <c r="E556" s="4">
        <v>3</v>
      </c>
      <c r="F556" s="8">
        <v>0.24</v>
      </c>
      <c r="G556" s="4">
        <v>41</v>
      </c>
      <c r="H556" s="8">
        <v>2</v>
      </c>
      <c r="I556" s="4">
        <v>1</v>
      </c>
    </row>
    <row r="557" spans="1:9" x14ac:dyDescent="0.15">
      <c r="A557" s="2">
        <v>20</v>
      </c>
      <c r="B557" s="1" t="s">
        <v>104</v>
      </c>
      <c r="C557" s="4">
        <v>38</v>
      </c>
      <c r="D557" s="8">
        <v>1.1499999999999999</v>
      </c>
      <c r="E557" s="4">
        <v>0</v>
      </c>
      <c r="F557" s="8">
        <v>0</v>
      </c>
      <c r="G557" s="4">
        <v>38</v>
      </c>
      <c r="H557" s="8">
        <v>1.86</v>
      </c>
      <c r="I557" s="4">
        <v>0</v>
      </c>
    </row>
    <row r="558" spans="1:9" x14ac:dyDescent="0.15">
      <c r="A558" s="1"/>
      <c r="C558" s="4"/>
      <c r="D558" s="8"/>
      <c r="E558" s="4"/>
      <c r="F558" s="8"/>
      <c r="G558" s="4"/>
      <c r="H558" s="8"/>
      <c r="I558" s="4"/>
    </row>
    <row r="559" spans="1:9" x14ac:dyDescent="0.15">
      <c r="A559" s="1" t="s">
        <v>25</v>
      </c>
      <c r="C559" s="4"/>
      <c r="D559" s="8"/>
      <c r="E559" s="4"/>
      <c r="F559" s="8"/>
      <c r="G559" s="4"/>
      <c r="H559" s="8"/>
      <c r="I559" s="4"/>
    </row>
    <row r="560" spans="1:9" x14ac:dyDescent="0.15">
      <c r="A560" s="2">
        <v>1</v>
      </c>
      <c r="B560" s="1" t="s">
        <v>96</v>
      </c>
      <c r="C560" s="4">
        <v>373</v>
      </c>
      <c r="D560" s="8">
        <v>13.06</v>
      </c>
      <c r="E560" s="4">
        <v>149</v>
      </c>
      <c r="F560" s="8">
        <v>11.42</v>
      </c>
      <c r="G560" s="4">
        <v>224</v>
      </c>
      <c r="H560" s="8">
        <v>14.48</v>
      </c>
      <c r="I560" s="4">
        <v>0</v>
      </c>
    </row>
    <row r="561" spans="1:9" x14ac:dyDescent="0.15">
      <c r="A561" s="2">
        <v>2</v>
      </c>
      <c r="B561" s="1" t="s">
        <v>99</v>
      </c>
      <c r="C561" s="4">
        <v>309</v>
      </c>
      <c r="D561" s="8">
        <v>10.82</v>
      </c>
      <c r="E561" s="4">
        <v>266</v>
      </c>
      <c r="F561" s="8">
        <v>20.38</v>
      </c>
      <c r="G561" s="4">
        <v>42</v>
      </c>
      <c r="H561" s="8">
        <v>2.71</v>
      </c>
      <c r="I561" s="4">
        <v>1</v>
      </c>
    </row>
    <row r="562" spans="1:9" x14ac:dyDescent="0.15">
      <c r="A562" s="2">
        <v>3</v>
      </c>
      <c r="B562" s="1" t="s">
        <v>100</v>
      </c>
      <c r="C562" s="4">
        <v>295</v>
      </c>
      <c r="D562" s="8">
        <v>10.33</v>
      </c>
      <c r="E562" s="4">
        <v>215</v>
      </c>
      <c r="F562" s="8">
        <v>16.48</v>
      </c>
      <c r="G562" s="4">
        <v>80</v>
      </c>
      <c r="H562" s="8">
        <v>5.17</v>
      </c>
      <c r="I562" s="4">
        <v>0</v>
      </c>
    </row>
    <row r="563" spans="1:9" x14ac:dyDescent="0.15">
      <c r="A563" s="2">
        <v>4</v>
      </c>
      <c r="B563" s="1" t="s">
        <v>94</v>
      </c>
      <c r="C563" s="4">
        <v>185</v>
      </c>
      <c r="D563" s="8">
        <v>6.48</v>
      </c>
      <c r="E563" s="4">
        <v>99</v>
      </c>
      <c r="F563" s="8">
        <v>7.59</v>
      </c>
      <c r="G563" s="4">
        <v>86</v>
      </c>
      <c r="H563" s="8">
        <v>5.56</v>
      </c>
      <c r="I563" s="4">
        <v>0</v>
      </c>
    </row>
    <row r="564" spans="1:9" x14ac:dyDescent="0.15">
      <c r="A564" s="2">
        <v>5</v>
      </c>
      <c r="B564" s="1" t="s">
        <v>86</v>
      </c>
      <c r="C564" s="4">
        <v>154</v>
      </c>
      <c r="D564" s="8">
        <v>5.39</v>
      </c>
      <c r="E564" s="4">
        <v>44</v>
      </c>
      <c r="F564" s="8">
        <v>3.37</v>
      </c>
      <c r="G564" s="4">
        <v>110</v>
      </c>
      <c r="H564" s="8">
        <v>7.11</v>
      </c>
      <c r="I564" s="4">
        <v>0</v>
      </c>
    </row>
    <row r="565" spans="1:9" x14ac:dyDescent="0.15">
      <c r="A565" s="2">
        <v>6</v>
      </c>
      <c r="B565" s="1" t="s">
        <v>85</v>
      </c>
      <c r="C565" s="4">
        <v>151</v>
      </c>
      <c r="D565" s="8">
        <v>5.29</v>
      </c>
      <c r="E565" s="4">
        <v>27</v>
      </c>
      <c r="F565" s="8">
        <v>2.0699999999999998</v>
      </c>
      <c r="G565" s="4">
        <v>124</v>
      </c>
      <c r="H565" s="8">
        <v>8.02</v>
      </c>
      <c r="I565" s="4">
        <v>0</v>
      </c>
    </row>
    <row r="566" spans="1:9" x14ac:dyDescent="0.15">
      <c r="A566" s="2">
        <v>7</v>
      </c>
      <c r="B566" s="1" t="s">
        <v>103</v>
      </c>
      <c r="C566" s="4">
        <v>135</v>
      </c>
      <c r="D566" s="8">
        <v>4.7300000000000004</v>
      </c>
      <c r="E566" s="4">
        <v>110</v>
      </c>
      <c r="F566" s="8">
        <v>8.43</v>
      </c>
      <c r="G566" s="4">
        <v>25</v>
      </c>
      <c r="H566" s="8">
        <v>1.62</v>
      </c>
      <c r="I566" s="4">
        <v>0</v>
      </c>
    </row>
    <row r="567" spans="1:9" x14ac:dyDescent="0.15">
      <c r="A567" s="2">
        <v>8</v>
      </c>
      <c r="B567" s="1" t="s">
        <v>92</v>
      </c>
      <c r="C567" s="4">
        <v>116</v>
      </c>
      <c r="D567" s="8">
        <v>4.0599999999999996</v>
      </c>
      <c r="E567" s="4">
        <v>67</v>
      </c>
      <c r="F567" s="8">
        <v>5.13</v>
      </c>
      <c r="G567" s="4">
        <v>49</v>
      </c>
      <c r="H567" s="8">
        <v>3.17</v>
      </c>
      <c r="I567" s="4">
        <v>0</v>
      </c>
    </row>
    <row r="568" spans="1:9" x14ac:dyDescent="0.15">
      <c r="A568" s="2">
        <v>9</v>
      </c>
      <c r="B568" s="1" t="s">
        <v>102</v>
      </c>
      <c r="C568" s="4">
        <v>106</v>
      </c>
      <c r="D568" s="8">
        <v>3.71</v>
      </c>
      <c r="E568" s="4">
        <v>72</v>
      </c>
      <c r="F568" s="8">
        <v>5.52</v>
      </c>
      <c r="G568" s="4">
        <v>33</v>
      </c>
      <c r="H568" s="8">
        <v>2.13</v>
      </c>
      <c r="I568" s="4">
        <v>1</v>
      </c>
    </row>
    <row r="569" spans="1:9" x14ac:dyDescent="0.15">
      <c r="A569" s="2">
        <v>10</v>
      </c>
      <c r="B569" s="1" t="s">
        <v>87</v>
      </c>
      <c r="C569" s="4">
        <v>99</v>
      </c>
      <c r="D569" s="8">
        <v>3.47</v>
      </c>
      <c r="E569" s="4">
        <v>11</v>
      </c>
      <c r="F569" s="8">
        <v>0.84</v>
      </c>
      <c r="G569" s="4">
        <v>88</v>
      </c>
      <c r="H569" s="8">
        <v>5.69</v>
      </c>
      <c r="I569" s="4">
        <v>0</v>
      </c>
    </row>
    <row r="570" spans="1:9" x14ac:dyDescent="0.15">
      <c r="A570" s="2">
        <v>11</v>
      </c>
      <c r="B570" s="1" t="s">
        <v>98</v>
      </c>
      <c r="C570" s="4">
        <v>96</v>
      </c>
      <c r="D570" s="8">
        <v>3.36</v>
      </c>
      <c r="E570" s="4">
        <v>29</v>
      </c>
      <c r="F570" s="8">
        <v>2.2200000000000002</v>
      </c>
      <c r="G570" s="4">
        <v>67</v>
      </c>
      <c r="H570" s="8">
        <v>4.33</v>
      </c>
      <c r="I570" s="4">
        <v>0</v>
      </c>
    </row>
    <row r="571" spans="1:9" x14ac:dyDescent="0.15">
      <c r="A571" s="2">
        <v>12</v>
      </c>
      <c r="B571" s="1" t="s">
        <v>97</v>
      </c>
      <c r="C571" s="4">
        <v>77</v>
      </c>
      <c r="D571" s="8">
        <v>2.7</v>
      </c>
      <c r="E571" s="4">
        <v>38</v>
      </c>
      <c r="F571" s="8">
        <v>2.91</v>
      </c>
      <c r="G571" s="4">
        <v>39</v>
      </c>
      <c r="H571" s="8">
        <v>2.52</v>
      </c>
      <c r="I571" s="4">
        <v>0</v>
      </c>
    </row>
    <row r="572" spans="1:9" x14ac:dyDescent="0.15">
      <c r="A572" s="2">
        <v>13</v>
      </c>
      <c r="B572" s="1" t="s">
        <v>95</v>
      </c>
      <c r="C572" s="4">
        <v>73</v>
      </c>
      <c r="D572" s="8">
        <v>2.56</v>
      </c>
      <c r="E572" s="4">
        <v>5</v>
      </c>
      <c r="F572" s="8">
        <v>0.38</v>
      </c>
      <c r="G572" s="4">
        <v>68</v>
      </c>
      <c r="H572" s="8">
        <v>4.4000000000000004</v>
      </c>
      <c r="I572" s="4">
        <v>0</v>
      </c>
    </row>
    <row r="573" spans="1:9" x14ac:dyDescent="0.15">
      <c r="A573" s="2">
        <v>14</v>
      </c>
      <c r="B573" s="1" t="s">
        <v>93</v>
      </c>
      <c r="C573" s="4">
        <v>72</v>
      </c>
      <c r="D573" s="8">
        <v>2.52</v>
      </c>
      <c r="E573" s="4">
        <v>26</v>
      </c>
      <c r="F573" s="8">
        <v>1.99</v>
      </c>
      <c r="G573" s="4">
        <v>46</v>
      </c>
      <c r="H573" s="8">
        <v>2.97</v>
      </c>
      <c r="I573" s="4">
        <v>0</v>
      </c>
    </row>
    <row r="574" spans="1:9" x14ac:dyDescent="0.15">
      <c r="A574" s="2">
        <v>15</v>
      </c>
      <c r="B574" s="1" t="s">
        <v>108</v>
      </c>
      <c r="C574" s="4">
        <v>49</v>
      </c>
      <c r="D574" s="8">
        <v>1.72</v>
      </c>
      <c r="E574" s="4">
        <v>1</v>
      </c>
      <c r="F574" s="8">
        <v>0.08</v>
      </c>
      <c r="G574" s="4">
        <v>48</v>
      </c>
      <c r="H574" s="8">
        <v>3.1</v>
      </c>
      <c r="I574" s="4">
        <v>0</v>
      </c>
    </row>
    <row r="575" spans="1:9" x14ac:dyDescent="0.15">
      <c r="A575" s="2">
        <v>16</v>
      </c>
      <c r="B575" s="1" t="s">
        <v>91</v>
      </c>
      <c r="C575" s="4">
        <v>47</v>
      </c>
      <c r="D575" s="8">
        <v>1.65</v>
      </c>
      <c r="E575" s="4">
        <v>25</v>
      </c>
      <c r="F575" s="8">
        <v>1.92</v>
      </c>
      <c r="G575" s="4">
        <v>22</v>
      </c>
      <c r="H575" s="8">
        <v>1.42</v>
      </c>
      <c r="I575" s="4">
        <v>0</v>
      </c>
    </row>
    <row r="576" spans="1:9" x14ac:dyDescent="0.15">
      <c r="A576" s="2">
        <v>17</v>
      </c>
      <c r="B576" s="1" t="s">
        <v>101</v>
      </c>
      <c r="C576" s="4">
        <v>43</v>
      </c>
      <c r="D576" s="8">
        <v>1.51</v>
      </c>
      <c r="E576" s="4">
        <v>21</v>
      </c>
      <c r="F576" s="8">
        <v>1.61</v>
      </c>
      <c r="G576" s="4">
        <v>22</v>
      </c>
      <c r="H576" s="8">
        <v>1.42</v>
      </c>
      <c r="I576" s="4">
        <v>0</v>
      </c>
    </row>
    <row r="577" spans="1:9" x14ac:dyDescent="0.15">
      <c r="A577" s="2">
        <v>18</v>
      </c>
      <c r="B577" s="1" t="s">
        <v>104</v>
      </c>
      <c r="C577" s="4">
        <v>29</v>
      </c>
      <c r="D577" s="8">
        <v>1.02</v>
      </c>
      <c r="E577" s="4">
        <v>3</v>
      </c>
      <c r="F577" s="8">
        <v>0.23</v>
      </c>
      <c r="G577" s="4">
        <v>26</v>
      </c>
      <c r="H577" s="8">
        <v>1.68</v>
      </c>
      <c r="I577" s="4">
        <v>0</v>
      </c>
    </row>
    <row r="578" spans="1:9" x14ac:dyDescent="0.15">
      <c r="A578" s="2">
        <v>19</v>
      </c>
      <c r="B578" s="1" t="s">
        <v>109</v>
      </c>
      <c r="C578" s="4">
        <v>26</v>
      </c>
      <c r="D578" s="8">
        <v>0.91</v>
      </c>
      <c r="E578" s="4">
        <v>0</v>
      </c>
      <c r="F578" s="8">
        <v>0</v>
      </c>
      <c r="G578" s="4">
        <v>26</v>
      </c>
      <c r="H578" s="8">
        <v>1.68</v>
      </c>
      <c r="I578" s="4">
        <v>0</v>
      </c>
    </row>
    <row r="579" spans="1:9" x14ac:dyDescent="0.15">
      <c r="A579" s="2">
        <v>20</v>
      </c>
      <c r="B579" s="1" t="s">
        <v>90</v>
      </c>
      <c r="C579" s="4">
        <v>25</v>
      </c>
      <c r="D579" s="8">
        <v>0.88</v>
      </c>
      <c r="E579" s="4">
        <v>2</v>
      </c>
      <c r="F579" s="8">
        <v>0.15</v>
      </c>
      <c r="G579" s="4">
        <v>23</v>
      </c>
      <c r="H579" s="8">
        <v>1.49</v>
      </c>
      <c r="I579" s="4">
        <v>0</v>
      </c>
    </row>
    <row r="580" spans="1:9" x14ac:dyDescent="0.15">
      <c r="A580" s="1"/>
      <c r="C580" s="4"/>
      <c r="D580" s="8"/>
      <c r="E580" s="4"/>
      <c r="F580" s="8"/>
      <c r="G580" s="4"/>
      <c r="H580" s="8"/>
      <c r="I580" s="4"/>
    </row>
    <row r="581" spans="1:9" x14ac:dyDescent="0.15">
      <c r="A581" s="1" t="s">
        <v>26</v>
      </c>
      <c r="C581" s="4"/>
      <c r="D581" s="8"/>
      <c r="E581" s="4"/>
      <c r="F581" s="8"/>
      <c r="G581" s="4"/>
      <c r="H581" s="8"/>
      <c r="I581" s="4"/>
    </row>
    <row r="582" spans="1:9" x14ac:dyDescent="0.15">
      <c r="A582" s="2">
        <v>1</v>
      </c>
      <c r="B582" s="1" t="s">
        <v>96</v>
      </c>
      <c r="C582" s="4">
        <v>274</v>
      </c>
      <c r="D582" s="8">
        <v>11.83</v>
      </c>
      <c r="E582" s="4">
        <v>90</v>
      </c>
      <c r="F582" s="8">
        <v>11.03</v>
      </c>
      <c r="G582" s="4">
        <v>184</v>
      </c>
      <c r="H582" s="8">
        <v>12.27</v>
      </c>
      <c r="I582" s="4">
        <v>0</v>
      </c>
    </row>
    <row r="583" spans="1:9" x14ac:dyDescent="0.15">
      <c r="A583" s="2">
        <v>2</v>
      </c>
      <c r="B583" s="1" t="s">
        <v>100</v>
      </c>
      <c r="C583" s="4">
        <v>212</v>
      </c>
      <c r="D583" s="8">
        <v>9.15</v>
      </c>
      <c r="E583" s="4">
        <v>147</v>
      </c>
      <c r="F583" s="8">
        <v>18.010000000000002</v>
      </c>
      <c r="G583" s="4">
        <v>65</v>
      </c>
      <c r="H583" s="8">
        <v>4.33</v>
      </c>
      <c r="I583" s="4">
        <v>0</v>
      </c>
    </row>
    <row r="584" spans="1:9" x14ac:dyDescent="0.15">
      <c r="A584" s="2">
        <v>3</v>
      </c>
      <c r="B584" s="1" t="s">
        <v>99</v>
      </c>
      <c r="C584" s="4">
        <v>179</v>
      </c>
      <c r="D584" s="8">
        <v>7.73</v>
      </c>
      <c r="E584" s="4">
        <v>141</v>
      </c>
      <c r="F584" s="8">
        <v>17.28</v>
      </c>
      <c r="G584" s="4">
        <v>38</v>
      </c>
      <c r="H584" s="8">
        <v>2.5299999999999998</v>
      </c>
      <c r="I584" s="4">
        <v>0</v>
      </c>
    </row>
    <row r="585" spans="1:9" x14ac:dyDescent="0.15">
      <c r="A585" s="2">
        <v>4</v>
      </c>
      <c r="B585" s="1" t="s">
        <v>85</v>
      </c>
      <c r="C585" s="4">
        <v>147</v>
      </c>
      <c r="D585" s="8">
        <v>6.35</v>
      </c>
      <c r="E585" s="4">
        <v>21</v>
      </c>
      <c r="F585" s="8">
        <v>2.57</v>
      </c>
      <c r="G585" s="4">
        <v>126</v>
      </c>
      <c r="H585" s="8">
        <v>8.4</v>
      </c>
      <c r="I585" s="4">
        <v>0</v>
      </c>
    </row>
    <row r="586" spans="1:9" x14ac:dyDescent="0.15">
      <c r="A586" s="2">
        <v>5</v>
      </c>
      <c r="B586" s="1" t="s">
        <v>86</v>
      </c>
      <c r="C586" s="4">
        <v>143</v>
      </c>
      <c r="D586" s="8">
        <v>6.17</v>
      </c>
      <c r="E586" s="4">
        <v>32</v>
      </c>
      <c r="F586" s="8">
        <v>3.92</v>
      </c>
      <c r="G586" s="4">
        <v>111</v>
      </c>
      <c r="H586" s="8">
        <v>7.4</v>
      </c>
      <c r="I586" s="4">
        <v>0</v>
      </c>
    </row>
    <row r="587" spans="1:9" x14ac:dyDescent="0.15">
      <c r="A587" s="2">
        <v>6</v>
      </c>
      <c r="B587" s="1" t="s">
        <v>87</v>
      </c>
      <c r="C587" s="4">
        <v>127</v>
      </c>
      <c r="D587" s="8">
        <v>5.48</v>
      </c>
      <c r="E587" s="4">
        <v>8</v>
      </c>
      <c r="F587" s="8">
        <v>0.98</v>
      </c>
      <c r="G587" s="4">
        <v>119</v>
      </c>
      <c r="H587" s="8">
        <v>7.93</v>
      </c>
      <c r="I587" s="4">
        <v>0</v>
      </c>
    </row>
    <row r="588" spans="1:9" x14ac:dyDescent="0.15">
      <c r="A588" s="2">
        <v>7</v>
      </c>
      <c r="B588" s="1" t="s">
        <v>102</v>
      </c>
      <c r="C588" s="4">
        <v>104</v>
      </c>
      <c r="D588" s="8">
        <v>4.49</v>
      </c>
      <c r="E588" s="4">
        <v>60</v>
      </c>
      <c r="F588" s="8">
        <v>7.35</v>
      </c>
      <c r="G588" s="4">
        <v>44</v>
      </c>
      <c r="H588" s="8">
        <v>2.93</v>
      </c>
      <c r="I588" s="4">
        <v>0</v>
      </c>
    </row>
    <row r="589" spans="1:9" x14ac:dyDescent="0.15">
      <c r="A589" s="2">
        <v>8</v>
      </c>
      <c r="B589" s="1" t="s">
        <v>94</v>
      </c>
      <c r="C589" s="4">
        <v>90</v>
      </c>
      <c r="D589" s="8">
        <v>3.89</v>
      </c>
      <c r="E589" s="4">
        <v>35</v>
      </c>
      <c r="F589" s="8">
        <v>4.29</v>
      </c>
      <c r="G589" s="4">
        <v>55</v>
      </c>
      <c r="H589" s="8">
        <v>3.67</v>
      </c>
      <c r="I589" s="4">
        <v>0</v>
      </c>
    </row>
    <row r="590" spans="1:9" x14ac:dyDescent="0.15">
      <c r="A590" s="2">
        <v>9</v>
      </c>
      <c r="B590" s="1" t="s">
        <v>103</v>
      </c>
      <c r="C590" s="4">
        <v>85</v>
      </c>
      <c r="D590" s="8">
        <v>3.67</v>
      </c>
      <c r="E590" s="4">
        <v>64</v>
      </c>
      <c r="F590" s="8">
        <v>7.84</v>
      </c>
      <c r="G590" s="4">
        <v>21</v>
      </c>
      <c r="H590" s="8">
        <v>1.4</v>
      </c>
      <c r="I590" s="4">
        <v>0</v>
      </c>
    </row>
    <row r="591" spans="1:9" x14ac:dyDescent="0.15">
      <c r="A591" s="2">
        <v>10</v>
      </c>
      <c r="B591" s="1" t="s">
        <v>92</v>
      </c>
      <c r="C591" s="4">
        <v>71</v>
      </c>
      <c r="D591" s="8">
        <v>3.07</v>
      </c>
      <c r="E591" s="4">
        <v>34</v>
      </c>
      <c r="F591" s="8">
        <v>4.17</v>
      </c>
      <c r="G591" s="4">
        <v>37</v>
      </c>
      <c r="H591" s="8">
        <v>2.4700000000000002</v>
      </c>
      <c r="I591" s="4">
        <v>0</v>
      </c>
    </row>
    <row r="592" spans="1:9" x14ac:dyDescent="0.15">
      <c r="A592" s="2">
        <v>11</v>
      </c>
      <c r="B592" s="1" t="s">
        <v>97</v>
      </c>
      <c r="C592" s="4">
        <v>64</v>
      </c>
      <c r="D592" s="8">
        <v>2.76</v>
      </c>
      <c r="E592" s="4">
        <v>22</v>
      </c>
      <c r="F592" s="8">
        <v>2.7</v>
      </c>
      <c r="G592" s="4">
        <v>42</v>
      </c>
      <c r="H592" s="8">
        <v>2.8</v>
      </c>
      <c r="I592" s="4">
        <v>0</v>
      </c>
    </row>
    <row r="593" spans="1:9" x14ac:dyDescent="0.15">
      <c r="A593" s="2">
        <v>12</v>
      </c>
      <c r="B593" s="1" t="s">
        <v>93</v>
      </c>
      <c r="C593" s="4">
        <v>54</v>
      </c>
      <c r="D593" s="8">
        <v>2.33</v>
      </c>
      <c r="E593" s="4">
        <v>10</v>
      </c>
      <c r="F593" s="8">
        <v>1.23</v>
      </c>
      <c r="G593" s="4">
        <v>44</v>
      </c>
      <c r="H593" s="8">
        <v>2.93</v>
      </c>
      <c r="I593" s="4">
        <v>0</v>
      </c>
    </row>
    <row r="594" spans="1:9" x14ac:dyDescent="0.15">
      <c r="A594" s="2">
        <v>13</v>
      </c>
      <c r="B594" s="1" t="s">
        <v>98</v>
      </c>
      <c r="C594" s="4">
        <v>53</v>
      </c>
      <c r="D594" s="8">
        <v>2.29</v>
      </c>
      <c r="E594" s="4">
        <v>19</v>
      </c>
      <c r="F594" s="8">
        <v>2.33</v>
      </c>
      <c r="G594" s="4">
        <v>34</v>
      </c>
      <c r="H594" s="8">
        <v>2.27</v>
      </c>
      <c r="I594" s="4">
        <v>0</v>
      </c>
    </row>
    <row r="595" spans="1:9" x14ac:dyDescent="0.15">
      <c r="A595" s="2">
        <v>14</v>
      </c>
      <c r="B595" s="1" t="s">
        <v>95</v>
      </c>
      <c r="C595" s="4">
        <v>49</v>
      </c>
      <c r="D595" s="8">
        <v>2.12</v>
      </c>
      <c r="E595" s="4">
        <v>4</v>
      </c>
      <c r="F595" s="8">
        <v>0.49</v>
      </c>
      <c r="G595" s="4">
        <v>45</v>
      </c>
      <c r="H595" s="8">
        <v>3</v>
      </c>
      <c r="I595" s="4">
        <v>0</v>
      </c>
    </row>
    <row r="596" spans="1:9" x14ac:dyDescent="0.15">
      <c r="A596" s="2">
        <v>15</v>
      </c>
      <c r="B596" s="1" t="s">
        <v>107</v>
      </c>
      <c r="C596" s="4">
        <v>45</v>
      </c>
      <c r="D596" s="8">
        <v>1.94</v>
      </c>
      <c r="E596" s="4">
        <v>1</v>
      </c>
      <c r="F596" s="8">
        <v>0.12</v>
      </c>
      <c r="G596" s="4">
        <v>44</v>
      </c>
      <c r="H596" s="8">
        <v>2.93</v>
      </c>
      <c r="I596" s="4">
        <v>0</v>
      </c>
    </row>
    <row r="597" spans="1:9" x14ac:dyDescent="0.15">
      <c r="A597" s="2">
        <v>16</v>
      </c>
      <c r="B597" s="1" t="s">
        <v>104</v>
      </c>
      <c r="C597" s="4">
        <v>31</v>
      </c>
      <c r="D597" s="8">
        <v>1.34</v>
      </c>
      <c r="E597" s="4">
        <v>2</v>
      </c>
      <c r="F597" s="8">
        <v>0.25</v>
      </c>
      <c r="G597" s="4">
        <v>29</v>
      </c>
      <c r="H597" s="8">
        <v>1.93</v>
      </c>
      <c r="I597" s="4">
        <v>0</v>
      </c>
    </row>
    <row r="598" spans="1:9" x14ac:dyDescent="0.15">
      <c r="A598" s="2">
        <v>17</v>
      </c>
      <c r="B598" s="1" t="s">
        <v>88</v>
      </c>
      <c r="C598" s="4">
        <v>30</v>
      </c>
      <c r="D598" s="8">
        <v>1.3</v>
      </c>
      <c r="E598" s="4">
        <v>8</v>
      </c>
      <c r="F598" s="8">
        <v>0.98</v>
      </c>
      <c r="G598" s="4">
        <v>22</v>
      </c>
      <c r="H598" s="8">
        <v>1.47</v>
      </c>
      <c r="I598" s="4">
        <v>0</v>
      </c>
    </row>
    <row r="599" spans="1:9" x14ac:dyDescent="0.15">
      <c r="A599" s="2">
        <v>17</v>
      </c>
      <c r="B599" s="1" t="s">
        <v>105</v>
      </c>
      <c r="C599" s="4">
        <v>30</v>
      </c>
      <c r="D599" s="8">
        <v>1.3</v>
      </c>
      <c r="E599" s="4">
        <v>2</v>
      </c>
      <c r="F599" s="8">
        <v>0.25</v>
      </c>
      <c r="G599" s="4">
        <v>28</v>
      </c>
      <c r="H599" s="8">
        <v>1.87</v>
      </c>
      <c r="I599" s="4">
        <v>0</v>
      </c>
    </row>
    <row r="600" spans="1:9" x14ac:dyDescent="0.15">
      <c r="A600" s="2">
        <v>19</v>
      </c>
      <c r="B600" s="1" t="s">
        <v>119</v>
      </c>
      <c r="C600" s="4">
        <v>28</v>
      </c>
      <c r="D600" s="8">
        <v>1.21</v>
      </c>
      <c r="E600" s="4">
        <v>4</v>
      </c>
      <c r="F600" s="8">
        <v>0.49</v>
      </c>
      <c r="G600" s="4">
        <v>24</v>
      </c>
      <c r="H600" s="8">
        <v>1.6</v>
      </c>
      <c r="I600" s="4">
        <v>0</v>
      </c>
    </row>
    <row r="601" spans="1:9" x14ac:dyDescent="0.15">
      <c r="A601" s="2">
        <v>20</v>
      </c>
      <c r="B601" s="1" t="s">
        <v>109</v>
      </c>
      <c r="C601" s="4">
        <v>27</v>
      </c>
      <c r="D601" s="8">
        <v>1.17</v>
      </c>
      <c r="E601" s="4">
        <v>0</v>
      </c>
      <c r="F601" s="8">
        <v>0</v>
      </c>
      <c r="G601" s="4">
        <v>27</v>
      </c>
      <c r="H601" s="8">
        <v>1.8</v>
      </c>
      <c r="I601" s="4">
        <v>0</v>
      </c>
    </row>
    <row r="602" spans="1:9" x14ac:dyDescent="0.15">
      <c r="A602" s="2">
        <v>20</v>
      </c>
      <c r="B602" s="1" t="s">
        <v>108</v>
      </c>
      <c r="C602" s="4">
        <v>27</v>
      </c>
      <c r="D602" s="8">
        <v>1.17</v>
      </c>
      <c r="E602" s="4">
        <v>0</v>
      </c>
      <c r="F602" s="8">
        <v>0</v>
      </c>
      <c r="G602" s="4">
        <v>27</v>
      </c>
      <c r="H602" s="8">
        <v>1.8</v>
      </c>
      <c r="I602" s="4">
        <v>0</v>
      </c>
    </row>
    <row r="603" spans="1:9" x14ac:dyDescent="0.15">
      <c r="A603" s="1"/>
      <c r="C603" s="4"/>
      <c r="D603" s="8"/>
      <c r="E603" s="4"/>
      <c r="F603" s="8"/>
      <c r="G603" s="4"/>
      <c r="H603" s="8"/>
      <c r="I603" s="4"/>
    </row>
    <row r="604" spans="1:9" x14ac:dyDescent="0.15">
      <c r="A604" s="1" t="s">
        <v>27</v>
      </c>
      <c r="C604" s="4"/>
      <c r="D604" s="8"/>
      <c r="E604" s="4"/>
      <c r="F604" s="8"/>
      <c r="G604" s="4"/>
      <c r="H604" s="8"/>
      <c r="I604" s="4"/>
    </row>
    <row r="605" spans="1:9" x14ac:dyDescent="0.15">
      <c r="A605" s="2">
        <v>1</v>
      </c>
      <c r="B605" s="1" t="s">
        <v>96</v>
      </c>
      <c r="C605" s="4">
        <v>203</v>
      </c>
      <c r="D605" s="8">
        <v>10.88</v>
      </c>
      <c r="E605" s="4">
        <v>83</v>
      </c>
      <c r="F605" s="8">
        <v>12.3</v>
      </c>
      <c r="G605" s="4">
        <v>120</v>
      </c>
      <c r="H605" s="8">
        <v>10.119999999999999</v>
      </c>
      <c r="I605" s="4">
        <v>0</v>
      </c>
    </row>
    <row r="606" spans="1:9" x14ac:dyDescent="0.15">
      <c r="A606" s="2">
        <v>2</v>
      </c>
      <c r="B606" s="1" t="s">
        <v>100</v>
      </c>
      <c r="C606" s="4">
        <v>143</v>
      </c>
      <c r="D606" s="8">
        <v>7.67</v>
      </c>
      <c r="E606" s="4">
        <v>93</v>
      </c>
      <c r="F606" s="8">
        <v>13.78</v>
      </c>
      <c r="G606" s="4">
        <v>50</v>
      </c>
      <c r="H606" s="8">
        <v>4.22</v>
      </c>
      <c r="I606" s="4">
        <v>0</v>
      </c>
    </row>
    <row r="607" spans="1:9" x14ac:dyDescent="0.15">
      <c r="A607" s="2">
        <v>3</v>
      </c>
      <c r="B607" s="1" t="s">
        <v>99</v>
      </c>
      <c r="C607" s="4">
        <v>138</v>
      </c>
      <c r="D607" s="8">
        <v>7.4</v>
      </c>
      <c r="E607" s="4">
        <v>102</v>
      </c>
      <c r="F607" s="8">
        <v>15.11</v>
      </c>
      <c r="G607" s="4">
        <v>36</v>
      </c>
      <c r="H607" s="8">
        <v>3.04</v>
      </c>
      <c r="I607" s="4">
        <v>0</v>
      </c>
    </row>
    <row r="608" spans="1:9" x14ac:dyDescent="0.15">
      <c r="A608" s="2">
        <v>4</v>
      </c>
      <c r="B608" s="1" t="s">
        <v>85</v>
      </c>
      <c r="C608" s="4">
        <v>106</v>
      </c>
      <c r="D608" s="8">
        <v>5.68</v>
      </c>
      <c r="E608" s="4">
        <v>16</v>
      </c>
      <c r="F608" s="8">
        <v>2.37</v>
      </c>
      <c r="G608" s="4">
        <v>90</v>
      </c>
      <c r="H608" s="8">
        <v>7.59</v>
      </c>
      <c r="I608" s="4">
        <v>0</v>
      </c>
    </row>
    <row r="609" spans="1:9" x14ac:dyDescent="0.15">
      <c r="A609" s="2">
        <v>4</v>
      </c>
      <c r="B609" s="1" t="s">
        <v>97</v>
      </c>
      <c r="C609" s="4">
        <v>106</v>
      </c>
      <c r="D609" s="8">
        <v>5.68</v>
      </c>
      <c r="E609" s="4">
        <v>31</v>
      </c>
      <c r="F609" s="8">
        <v>4.59</v>
      </c>
      <c r="G609" s="4">
        <v>74</v>
      </c>
      <c r="H609" s="8">
        <v>6.24</v>
      </c>
      <c r="I609" s="4">
        <v>1</v>
      </c>
    </row>
    <row r="610" spans="1:9" x14ac:dyDescent="0.15">
      <c r="A610" s="2">
        <v>6</v>
      </c>
      <c r="B610" s="1" t="s">
        <v>102</v>
      </c>
      <c r="C610" s="4">
        <v>99</v>
      </c>
      <c r="D610" s="8">
        <v>5.31</v>
      </c>
      <c r="E610" s="4">
        <v>61</v>
      </c>
      <c r="F610" s="8">
        <v>9.0399999999999991</v>
      </c>
      <c r="G610" s="4">
        <v>37</v>
      </c>
      <c r="H610" s="8">
        <v>3.12</v>
      </c>
      <c r="I610" s="4">
        <v>1</v>
      </c>
    </row>
    <row r="611" spans="1:9" x14ac:dyDescent="0.15">
      <c r="A611" s="2">
        <v>7</v>
      </c>
      <c r="B611" s="1" t="s">
        <v>94</v>
      </c>
      <c r="C611" s="4">
        <v>97</v>
      </c>
      <c r="D611" s="8">
        <v>5.2</v>
      </c>
      <c r="E611" s="4">
        <v>28</v>
      </c>
      <c r="F611" s="8">
        <v>4.1500000000000004</v>
      </c>
      <c r="G611" s="4">
        <v>69</v>
      </c>
      <c r="H611" s="8">
        <v>5.82</v>
      </c>
      <c r="I611" s="4">
        <v>0</v>
      </c>
    </row>
    <row r="612" spans="1:9" x14ac:dyDescent="0.15">
      <c r="A612" s="2">
        <v>8</v>
      </c>
      <c r="B612" s="1" t="s">
        <v>103</v>
      </c>
      <c r="C612" s="4">
        <v>94</v>
      </c>
      <c r="D612" s="8">
        <v>5.04</v>
      </c>
      <c r="E612" s="4">
        <v>78</v>
      </c>
      <c r="F612" s="8">
        <v>11.56</v>
      </c>
      <c r="G612" s="4">
        <v>16</v>
      </c>
      <c r="H612" s="8">
        <v>1.35</v>
      </c>
      <c r="I612" s="4">
        <v>0</v>
      </c>
    </row>
    <row r="613" spans="1:9" x14ac:dyDescent="0.15">
      <c r="A613" s="2">
        <v>9</v>
      </c>
      <c r="B613" s="1" t="s">
        <v>92</v>
      </c>
      <c r="C613" s="4">
        <v>69</v>
      </c>
      <c r="D613" s="8">
        <v>3.7</v>
      </c>
      <c r="E613" s="4">
        <v>39</v>
      </c>
      <c r="F613" s="8">
        <v>5.78</v>
      </c>
      <c r="G613" s="4">
        <v>29</v>
      </c>
      <c r="H613" s="8">
        <v>2.4500000000000002</v>
      </c>
      <c r="I613" s="4">
        <v>1</v>
      </c>
    </row>
    <row r="614" spans="1:9" x14ac:dyDescent="0.15">
      <c r="A614" s="2">
        <v>10</v>
      </c>
      <c r="B614" s="1" t="s">
        <v>86</v>
      </c>
      <c r="C614" s="4">
        <v>65</v>
      </c>
      <c r="D614" s="8">
        <v>3.49</v>
      </c>
      <c r="E614" s="4">
        <v>10</v>
      </c>
      <c r="F614" s="8">
        <v>1.48</v>
      </c>
      <c r="G614" s="4">
        <v>55</v>
      </c>
      <c r="H614" s="8">
        <v>4.6399999999999997</v>
      </c>
      <c r="I614" s="4">
        <v>0</v>
      </c>
    </row>
    <row r="615" spans="1:9" x14ac:dyDescent="0.15">
      <c r="A615" s="2">
        <v>11</v>
      </c>
      <c r="B615" s="1" t="s">
        <v>98</v>
      </c>
      <c r="C615" s="4">
        <v>63</v>
      </c>
      <c r="D615" s="8">
        <v>3.38</v>
      </c>
      <c r="E615" s="4">
        <v>13</v>
      </c>
      <c r="F615" s="8">
        <v>1.93</v>
      </c>
      <c r="G615" s="4">
        <v>50</v>
      </c>
      <c r="H615" s="8">
        <v>4.22</v>
      </c>
      <c r="I615" s="4">
        <v>0</v>
      </c>
    </row>
    <row r="616" spans="1:9" x14ac:dyDescent="0.15">
      <c r="A616" s="2">
        <v>12</v>
      </c>
      <c r="B616" s="1" t="s">
        <v>87</v>
      </c>
      <c r="C616" s="4">
        <v>61</v>
      </c>
      <c r="D616" s="8">
        <v>3.27</v>
      </c>
      <c r="E616" s="4">
        <v>2</v>
      </c>
      <c r="F616" s="8">
        <v>0.3</v>
      </c>
      <c r="G616" s="4">
        <v>59</v>
      </c>
      <c r="H616" s="8">
        <v>4.97</v>
      </c>
      <c r="I616" s="4">
        <v>0</v>
      </c>
    </row>
    <row r="617" spans="1:9" x14ac:dyDescent="0.15">
      <c r="A617" s="2">
        <v>13</v>
      </c>
      <c r="B617" s="1" t="s">
        <v>91</v>
      </c>
      <c r="C617" s="4">
        <v>56</v>
      </c>
      <c r="D617" s="8">
        <v>3</v>
      </c>
      <c r="E617" s="4">
        <v>13</v>
      </c>
      <c r="F617" s="8">
        <v>1.93</v>
      </c>
      <c r="G617" s="4">
        <v>43</v>
      </c>
      <c r="H617" s="8">
        <v>3.63</v>
      </c>
      <c r="I617" s="4">
        <v>0</v>
      </c>
    </row>
    <row r="618" spans="1:9" x14ac:dyDescent="0.15">
      <c r="A618" s="2">
        <v>14</v>
      </c>
      <c r="B618" s="1" t="s">
        <v>93</v>
      </c>
      <c r="C618" s="4">
        <v>36</v>
      </c>
      <c r="D618" s="8">
        <v>1.93</v>
      </c>
      <c r="E618" s="4">
        <v>12</v>
      </c>
      <c r="F618" s="8">
        <v>1.78</v>
      </c>
      <c r="G618" s="4">
        <v>24</v>
      </c>
      <c r="H618" s="8">
        <v>2.02</v>
      </c>
      <c r="I618" s="4">
        <v>0</v>
      </c>
    </row>
    <row r="619" spans="1:9" x14ac:dyDescent="0.15">
      <c r="A619" s="2">
        <v>15</v>
      </c>
      <c r="B619" s="1" t="s">
        <v>108</v>
      </c>
      <c r="C619" s="4">
        <v>34</v>
      </c>
      <c r="D619" s="8">
        <v>1.82</v>
      </c>
      <c r="E619" s="4">
        <v>1</v>
      </c>
      <c r="F619" s="8">
        <v>0.15</v>
      </c>
      <c r="G619" s="4">
        <v>33</v>
      </c>
      <c r="H619" s="8">
        <v>2.78</v>
      </c>
      <c r="I619" s="4">
        <v>0</v>
      </c>
    </row>
    <row r="620" spans="1:9" x14ac:dyDescent="0.15">
      <c r="A620" s="2">
        <v>16</v>
      </c>
      <c r="B620" s="1" t="s">
        <v>95</v>
      </c>
      <c r="C620" s="4">
        <v>33</v>
      </c>
      <c r="D620" s="8">
        <v>1.77</v>
      </c>
      <c r="E620" s="4">
        <v>1</v>
      </c>
      <c r="F620" s="8">
        <v>0.15</v>
      </c>
      <c r="G620" s="4">
        <v>32</v>
      </c>
      <c r="H620" s="8">
        <v>2.7</v>
      </c>
      <c r="I620" s="4">
        <v>0</v>
      </c>
    </row>
    <row r="621" spans="1:9" x14ac:dyDescent="0.15">
      <c r="A621" s="2">
        <v>17</v>
      </c>
      <c r="B621" s="1" t="s">
        <v>90</v>
      </c>
      <c r="C621" s="4">
        <v>32</v>
      </c>
      <c r="D621" s="8">
        <v>1.72</v>
      </c>
      <c r="E621" s="4">
        <v>2</v>
      </c>
      <c r="F621" s="8">
        <v>0.3</v>
      </c>
      <c r="G621" s="4">
        <v>30</v>
      </c>
      <c r="H621" s="8">
        <v>2.5299999999999998</v>
      </c>
      <c r="I621" s="4">
        <v>0</v>
      </c>
    </row>
    <row r="622" spans="1:9" x14ac:dyDescent="0.15">
      <c r="A622" s="2">
        <v>18</v>
      </c>
      <c r="B622" s="1" t="s">
        <v>109</v>
      </c>
      <c r="C622" s="4">
        <v>30</v>
      </c>
      <c r="D622" s="8">
        <v>1.61</v>
      </c>
      <c r="E622" s="4">
        <v>0</v>
      </c>
      <c r="F622" s="8">
        <v>0</v>
      </c>
      <c r="G622" s="4">
        <v>30</v>
      </c>
      <c r="H622" s="8">
        <v>2.5299999999999998</v>
      </c>
      <c r="I622" s="4">
        <v>0</v>
      </c>
    </row>
    <row r="623" spans="1:9" x14ac:dyDescent="0.15">
      <c r="A623" s="2">
        <v>19</v>
      </c>
      <c r="B623" s="1" t="s">
        <v>104</v>
      </c>
      <c r="C623" s="4">
        <v>29</v>
      </c>
      <c r="D623" s="8">
        <v>1.55</v>
      </c>
      <c r="E623" s="4">
        <v>2</v>
      </c>
      <c r="F623" s="8">
        <v>0.3</v>
      </c>
      <c r="G623" s="4">
        <v>27</v>
      </c>
      <c r="H623" s="8">
        <v>2.2799999999999998</v>
      </c>
      <c r="I623" s="4">
        <v>0</v>
      </c>
    </row>
    <row r="624" spans="1:9" x14ac:dyDescent="0.15">
      <c r="A624" s="2">
        <v>20</v>
      </c>
      <c r="B624" s="1" t="s">
        <v>101</v>
      </c>
      <c r="C624" s="4">
        <v>25</v>
      </c>
      <c r="D624" s="8">
        <v>1.34</v>
      </c>
      <c r="E624" s="4">
        <v>8</v>
      </c>
      <c r="F624" s="8">
        <v>1.19</v>
      </c>
      <c r="G624" s="4">
        <v>17</v>
      </c>
      <c r="H624" s="8">
        <v>1.43</v>
      </c>
      <c r="I624" s="4">
        <v>0</v>
      </c>
    </row>
    <row r="625" spans="1:9" x14ac:dyDescent="0.15">
      <c r="A625" s="1"/>
      <c r="C625" s="4"/>
      <c r="D625" s="8"/>
      <c r="E625" s="4"/>
      <c r="F625" s="8"/>
      <c r="G625" s="4"/>
      <c r="H625" s="8"/>
      <c r="I625" s="4"/>
    </row>
    <row r="626" spans="1:9" x14ac:dyDescent="0.15">
      <c r="A626" s="1" t="s">
        <v>28</v>
      </c>
      <c r="C626" s="4"/>
      <c r="D626" s="8"/>
      <c r="E626" s="4"/>
      <c r="F626" s="8"/>
      <c r="G626" s="4"/>
      <c r="H626" s="8"/>
      <c r="I626" s="4"/>
    </row>
    <row r="627" spans="1:9" x14ac:dyDescent="0.15">
      <c r="A627" s="2">
        <v>1</v>
      </c>
      <c r="B627" s="1" t="s">
        <v>100</v>
      </c>
      <c r="C627" s="4">
        <v>1371</v>
      </c>
      <c r="D627" s="8">
        <v>10.34</v>
      </c>
      <c r="E627" s="4">
        <v>1115</v>
      </c>
      <c r="F627" s="8">
        <v>17.559999999999999</v>
      </c>
      <c r="G627" s="4">
        <v>256</v>
      </c>
      <c r="H627" s="8">
        <v>3.71</v>
      </c>
      <c r="I627" s="4">
        <v>0</v>
      </c>
    </row>
    <row r="628" spans="1:9" x14ac:dyDescent="0.15">
      <c r="A628" s="2">
        <v>2</v>
      </c>
      <c r="B628" s="1" t="s">
        <v>99</v>
      </c>
      <c r="C628" s="4">
        <v>1298</v>
      </c>
      <c r="D628" s="8">
        <v>9.7899999999999991</v>
      </c>
      <c r="E628" s="4">
        <v>1103</v>
      </c>
      <c r="F628" s="8">
        <v>17.37</v>
      </c>
      <c r="G628" s="4">
        <v>195</v>
      </c>
      <c r="H628" s="8">
        <v>2.83</v>
      </c>
      <c r="I628" s="4">
        <v>0</v>
      </c>
    </row>
    <row r="629" spans="1:9" x14ac:dyDescent="0.15">
      <c r="A629" s="2">
        <v>3</v>
      </c>
      <c r="B629" s="1" t="s">
        <v>96</v>
      </c>
      <c r="C629" s="4">
        <v>1247</v>
      </c>
      <c r="D629" s="8">
        <v>9.41</v>
      </c>
      <c r="E629" s="4">
        <v>798</v>
      </c>
      <c r="F629" s="8">
        <v>12.57</v>
      </c>
      <c r="G629" s="4">
        <v>447</v>
      </c>
      <c r="H629" s="8">
        <v>6.49</v>
      </c>
      <c r="I629" s="4">
        <v>2</v>
      </c>
    </row>
    <row r="630" spans="1:9" x14ac:dyDescent="0.15">
      <c r="A630" s="2">
        <v>4</v>
      </c>
      <c r="B630" s="1" t="s">
        <v>86</v>
      </c>
      <c r="C630" s="4">
        <v>817</v>
      </c>
      <c r="D630" s="8">
        <v>6.16</v>
      </c>
      <c r="E630" s="4">
        <v>265</v>
      </c>
      <c r="F630" s="8">
        <v>4.17</v>
      </c>
      <c r="G630" s="4">
        <v>552</v>
      </c>
      <c r="H630" s="8">
        <v>8.01</v>
      </c>
      <c r="I630" s="4">
        <v>0</v>
      </c>
    </row>
    <row r="631" spans="1:9" x14ac:dyDescent="0.15">
      <c r="A631" s="2">
        <v>5</v>
      </c>
      <c r="B631" s="1" t="s">
        <v>85</v>
      </c>
      <c r="C631" s="4">
        <v>806</v>
      </c>
      <c r="D631" s="8">
        <v>6.08</v>
      </c>
      <c r="E631" s="4">
        <v>163</v>
      </c>
      <c r="F631" s="8">
        <v>2.57</v>
      </c>
      <c r="G631" s="4">
        <v>643</v>
      </c>
      <c r="H631" s="8">
        <v>9.33</v>
      </c>
      <c r="I631" s="4">
        <v>0</v>
      </c>
    </row>
    <row r="632" spans="1:9" x14ac:dyDescent="0.15">
      <c r="A632" s="2">
        <v>6</v>
      </c>
      <c r="B632" s="1" t="s">
        <v>94</v>
      </c>
      <c r="C632" s="4">
        <v>678</v>
      </c>
      <c r="D632" s="8">
        <v>5.12</v>
      </c>
      <c r="E632" s="4">
        <v>299</v>
      </c>
      <c r="F632" s="8">
        <v>4.71</v>
      </c>
      <c r="G632" s="4">
        <v>379</v>
      </c>
      <c r="H632" s="8">
        <v>5.5</v>
      </c>
      <c r="I632" s="4">
        <v>0</v>
      </c>
    </row>
    <row r="633" spans="1:9" x14ac:dyDescent="0.15">
      <c r="A633" s="2">
        <v>7</v>
      </c>
      <c r="B633" s="1" t="s">
        <v>102</v>
      </c>
      <c r="C633" s="4">
        <v>602</v>
      </c>
      <c r="D633" s="8">
        <v>4.54</v>
      </c>
      <c r="E633" s="4">
        <v>458</v>
      </c>
      <c r="F633" s="8">
        <v>7.21</v>
      </c>
      <c r="G633" s="4">
        <v>141</v>
      </c>
      <c r="H633" s="8">
        <v>2.0499999999999998</v>
      </c>
      <c r="I633" s="4">
        <v>3</v>
      </c>
    </row>
    <row r="634" spans="1:9" x14ac:dyDescent="0.15">
      <c r="A634" s="2">
        <v>8</v>
      </c>
      <c r="B634" s="1" t="s">
        <v>87</v>
      </c>
      <c r="C634" s="4">
        <v>543</v>
      </c>
      <c r="D634" s="8">
        <v>4.0999999999999996</v>
      </c>
      <c r="E634" s="4">
        <v>87</v>
      </c>
      <c r="F634" s="8">
        <v>1.37</v>
      </c>
      <c r="G634" s="4">
        <v>456</v>
      </c>
      <c r="H634" s="8">
        <v>6.62</v>
      </c>
      <c r="I634" s="4">
        <v>0</v>
      </c>
    </row>
    <row r="635" spans="1:9" x14ac:dyDescent="0.15">
      <c r="A635" s="2">
        <v>9</v>
      </c>
      <c r="B635" s="1" t="s">
        <v>103</v>
      </c>
      <c r="C635" s="4">
        <v>534</v>
      </c>
      <c r="D635" s="8">
        <v>4.03</v>
      </c>
      <c r="E635" s="4">
        <v>444</v>
      </c>
      <c r="F635" s="8">
        <v>6.99</v>
      </c>
      <c r="G635" s="4">
        <v>90</v>
      </c>
      <c r="H635" s="8">
        <v>1.31</v>
      </c>
      <c r="I635" s="4">
        <v>0</v>
      </c>
    </row>
    <row r="636" spans="1:9" x14ac:dyDescent="0.15">
      <c r="A636" s="2">
        <v>10</v>
      </c>
      <c r="B636" s="1" t="s">
        <v>92</v>
      </c>
      <c r="C636" s="4">
        <v>448</v>
      </c>
      <c r="D636" s="8">
        <v>3.38</v>
      </c>
      <c r="E636" s="4">
        <v>276</v>
      </c>
      <c r="F636" s="8">
        <v>4.3499999999999996</v>
      </c>
      <c r="G636" s="4">
        <v>171</v>
      </c>
      <c r="H636" s="8">
        <v>2.48</v>
      </c>
      <c r="I636" s="4">
        <v>1</v>
      </c>
    </row>
    <row r="637" spans="1:9" x14ac:dyDescent="0.15">
      <c r="A637" s="2">
        <v>11</v>
      </c>
      <c r="B637" s="1" t="s">
        <v>98</v>
      </c>
      <c r="C637" s="4">
        <v>342</v>
      </c>
      <c r="D637" s="8">
        <v>2.58</v>
      </c>
      <c r="E637" s="4">
        <v>109</v>
      </c>
      <c r="F637" s="8">
        <v>1.72</v>
      </c>
      <c r="G637" s="4">
        <v>233</v>
      </c>
      <c r="H637" s="8">
        <v>3.38</v>
      </c>
      <c r="I637" s="4">
        <v>0</v>
      </c>
    </row>
    <row r="638" spans="1:9" x14ac:dyDescent="0.15">
      <c r="A638" s="2">
        <v>12</v>
      </c>
      <c r="B638" s="1" t="s">
        <v>93</v>
      </c>
      <c r="C638" s="4">
        <v>326</v>
      </c>
      <c r="D638" s="8">
        <v>2.46</v>
      </c>
      <c r="E638" s="4">
        <v>137</v>
      </c>
      <c r="F638" s="8">
        <v>2.16</v>
      </c>
      <c r="G638" s="4">
        <v>189</v>
      </c>
      <c r="H638" s="8">
        <v>2.74</v>
      </c>
      <c r="I638" s="4">
        <v>0</v>
      </c>
    </row>
    <row r="639" spans="1:9" x14ac:dyDescent="0.15">
      <c r="A639" s="2">
        <v>12</v>
      </c>
      <c r="B639" s="1" t="s">
        <v>97</v>
      </c>
      <c r="C639" s="4">
        <v>326</v>
      </c>
      <c r="D639" s="8">
        <v>2.46</v>
      </c>
      <c r="E639" s="4">
        <v>226</v>
      </c>
      <c r="F639" s="8">
        <v>3.56</v>
      </c>
      <c r="G639" s="4">
        <v>100</v>
      </c>
      <c r="H639" s="8">
        <v>1.45</v>
      </c>
      <c r="I639" s="4">
        <v>0</v>
      </c>
    </row>
    <row r="640" spans="1:9" x14ac:dyDescent="0.15">
      <c r="A640" s="2">
        <v>14</v>
      </c>
      <c r="B640" s="1" t="s">
        <v>95</v>
      </c>
      <c r="C640" s="4">
        <v>296</v>
      </c>
      <c r="D640" s="8">
        <v>2.23</v>
      </c>
      <c r="E640" s="4">
        <v>19</v>
      </c>
      <c r="F640" s="8">
        <v>0.3</v>
      </c>
      <c r="G640" s="4">
        <v>277</v>
      </c>
      <c r="H640" s="8">
        <v>4.0199999999999996</v>
      </c>
      <c r="I640" s="4">
        <v>0</v>
      </c>
    </row>
    <row r="641" spans="1:9" x14ac:dyDescent="0.15">
      <c r="A641" s="2">
        <v>15</v>
      </c>
      <c r="B641" s="1" t="s">
        <v>91</v>
      </c>
      <c r="C641" s="4">
        <v>271</v>
      </c>
      <c r="D641" s="8">
        <v>2.04</v>
      </c>
      <c r="E641" s="4">
        <v>99</v>
      </c>
      <c r="F641" s="8">
        <v>1.56</v>
      </c>
      <c r="G641" s="4">
        <v>172</v>
      </c>
      <c r="H641" s="8">
        <v>2.5</v>
      </c>
      <c r="I641" s="4">
        <v>0</v>
      </c>
    </row>
    <row r="642" spans="1:9" x14ac:dyDescent="0.15">
      <c r="A642" s="2">
        <v>16</v>
      </c>
      <c r="B642" s="1" t="s">
        <v>89</v>
      </c>
      <c r="C642" s="4">
        <v>240</v>
      </c>
      <c r="D642" s="8">
        <v>1.81</v>
      </c>
      <c r="E642" s="4">
        <v>39</v>
      </c>
      <c r="F642" s="8">
        <v>0.61</v>
      </c>
      <c r="G642" s="4">
        <v>201</v>
      </c>
      <c r="H642" s="8">
        <v>2.92</v>
      </c>
      <c r="I642" s="4">
        <v>0</v>
      </c>
    </row>
    <row r="643" spans="1:9" x14ac:dyDescent="0.15">
      <c r="A643" s="2">
        <v>17</v>
      </c>
      <c r="B643" s="1" t="s">
        <v>88</v>
      </c>
      <c r="C643" s="4">
        <v>221</v>
      </c>
      <c r="D643" s="8">
        <v>1.67</v>
      </c>
      <c r="E643" s="4">
        <v>43</v>
      </c>
      <c r="F643" s="8">
        <v>0.68</v>
      </c>
      <c r="G643" s="4">
        <v>178</v>
      </c>
      <c r="H643" s="8">
        <v>2.58</v>
      </c>
      <c r="I643" s="4">
        <v>0</v>
      </c>
    </row>
    <row r="644" spans="1:9" x14ac:dyDescent="0.15">
      <c r="A644" s="2">
        <v>18</v>
      </c>
      <c r="B644" s="1" t="s">
        <v>90</v>
      </c>
      <c r="C644" s="4">
        <v>176</v>
      </c>
      <c r="D644" s="8">
        <v>1.33</v>
      </c>
      <c r="E644" s="4">
        <v>19</v>
      </c>
      <c r="F644" s="8">
        <v>0.3</v>
      </c>
      <c r="G644" s="4">
        <v>157</v>
      </c>
      <c r="H644" s="8">
        <v>2.2799999999999998</v>
      </c>
      <c r="I644" s="4">
        <v>0</v>
      </c>
    </row>
    <row r="645" spans="1:9" x14ac:dyDescent="0.15">
      <c r="A645" s="2">
        <v>19</v>
      </c>
      <c r="B645" s="1" t="s">
        <v>106</v>
      </c>
      <c r="C645" s="4">
        <v>172</v>
      </c>
      <c r="D645" s="8">
        <v>1.3</v>
      </c>
      <c r="E645" s="4">
        <v>29</v>
      </c>
      <c r="F645" s="8">
        <v>0.46</v>
      </c>
      <c r="G645" s="4">
        <v>143</v>
      </c>
      <c r="H645" s="8">
        <v>2.08</v>
      </c>
      <c r="I645" s="4">
        <v>0</v>
      </c>
    </row>
    <row r="646" spans="1:9" x14ac:dyDescent="0.15">
      <c r="A646" s="2">
        <v>20</v>
      </c>
      <c r="B646" s="1" t="s">
        <v>108</v>
      </c>
      <c r="C646" s="4">
        <v>162</v>
      </c>
      <c r="D646" s="8">
        <v>1.22</v>
      </c>
      <c r="E646" s="4">
        <v>6</v>
      </c>
      <c r="F646" s="8">
        <v>0.09</v>
      </c>
      <c r="G646" s="4">
        <v>155</v>
      </c>
      <c r="H646" s="8">
        <v>2.25</v>
      </c>
      <c r="I646" s="4">
        <v>1</v>
      </c>
    </row>
    <row r="647" spans="1:9" x14ac:dyDescent="0.15">
      <c r="A647" s="1"/>
      <c r="C647" s="4"/>
      <c r="D647" s="8"/>
      <c r="E647" s="4"/>
      <c r="F647" s="8"/>
      <c r="G647" s="4"/>
      <c r="H647" s="8"/>
      <c r="I647" s="4"/>
    </row>
    <row r="648" spans="1:9" x14ac:dyDescent="0.15">
      <c r="A648" s="1" t="s">
        <v>29</v>
      </c>
      <c r="C648" s="4"/>
      <c r="D648" s="8"/>
      <c r="E648" s="4"/>
      <c r="F648" s="8"/>
      <c r="G648" s="4"/>
      <c r="H648" s="8"/>
      <c r="I648" s="4"/>
    </row>
    <row r="649" spans="1:9" x14ac:dyDescent="0.15">
      <c r="A649" s="2">
        <v>1</v>
      </c>
      <c r="B649" s="1" t="s">
        <v>96</v>
      </c>
      <c r="C649" s="4">
        <v>342</v>
      </c>
      <c r="D649" s="8">
        <v>9.74</v>
      </c>
      <c r="E649" s="4">
        <v>247</v>
      </c>
      <c r="F649" s="8">
        <v>13.99</v>
      </c>
      <c r="G649" s="4">
        <v>95</v>
      </c>
      <c r="H649" s="8">
        <v>5.45</v>
      </c>
      <c r="I649" s="4">
        <v>0</v>
      </c>
    </row>
    <row r="650" spans="1:9" x14ac:dyDescent="0.15">
      <c r="A650" s="2">
        <v>2</v>
      </c>
      <c r="B650" s="1" t="s">
        <v>100</v>
      </c>
      <c r="C650" s="4">
        <v>317</v>
      </c>
      <c r="D650" s="8">
        <v>9.0299999999999994</v>
      </c>
      <c r="E650" s="4">
        <v>261</v>
      </c>
      <c r="F650" s="8">
        <v>14.78</v>
      </c>
      <c r="G650" s="4">
        <v>56</v>
      </c>
      <c r="H650" s="8">
        <v>3.21</v>
      </c>
      <c r="I650" s="4">
        <v>0</v>
      </c>
    </row>
    <row r="651" spans="1:9" x14ac:dyDescent="0.15">
      <c r="A651" s="2">
        <v>3</v>
      </c>
      <c r="B651" s="1" t="s">
        <v>99</v>
      </c>
      <c r="C651" s="4">
        <v>280</v>
      </c>
      <c r="D651" s="8">
        <v>7.98</v>
      </c>
      <c r="E651" s="4">
        <v>232</v>
      </c>
      <c r="F651" s="8">
        <v>13.14</v>
      </c>
      <c r="G651" s="4">
        <v>48</v>
      </c>
      <c r="H651" s="8">
        <v>2.76</v>
      </c>
      <c r="I651" s="4">
        <v>0</v>
      </c>
    </row>
    <row r="652" spans="1:9" x14ac:dyDescent="0.15">
      <c r="A652" s="2">
        <v>4</v>
      </c>
      <c r="B652" s="1" t="s">
        <v>85</v>
      </c>
      <c r="C652" s="4">
        <v>246</v>
      </c>
      <c r="D652" s="8">
        <v>7.01</v>
      </c>
      <c r="E652" s="4">
        <v>73</v>
      </c>
      <c r="F652" s="8">
        <v>4.13</v>
      </c>
      <c r="G652" s="4">
        <v>173</v>
      </c>
      <c r="H652" s="8">
        <v>9.93</v>
      </c>
      <c r="I652" s="4">
        <v>0</v>
      </c>
    </row>
    <row r="653" spans="1:9" x14ac:dyDescent="0.15">
      <c r="A653" s="2">
        <v>5</v>
      </c>
      <c r="B653" s="1" t="s">
        <v>86</v>
      </c>
      <c r="C653" s="4">
        <v>242</v>
      </c>
      <c r="D653" s="8">
        <v>6.89</v>
      </c>
      <c r="E653" s="4">
        <v>105</v>
      </c>
      <c r="F653" s="8">
        <v>5.95</v>
      </c>
      <c r="G653" s="4">
        <v>137</v>
      </c>
      <c r="H653" s="8">
        <v>7.86</v>
      </c>
      <c r="I653" s="4">
        <v>0</v>
      </c>
    </row>
    <row r="654" spans="1:9" x14ac:dyDescent="0.15">
      <c r="A654" s="2">
        <v>6</v>
      </c>
      <c r="B654" s="1" t="s">
        <v>94</v>
      </c>
      <c r="C654" s="4">
        <v>186</v>
      </c>
      <c r="D654" s="8">
        <v>5.3</v>
      </c>
      <c r="E654" s="4">
        <v>79</v>
      </c>
      <c r="F654" s="8">
        <v>4.47</v>
      </c>
      <c r="G654" s="4">
        <v>107</v>
      </c>
      <c r="H654" s="8">
        <v>6.14</v>
      </c>
      <c r="I654" s="4">
        <v>0</v>
      </c>
    </row>
    <row r="655" spans="1:9" x14ac:dyDescent="0.15">
      <c r="A655" s="2">
        <v>7</v>
      </c>
      <c r="B655" s="1" t="s">
        <v>102</v>
      </c>
      <c r="C655" s="4">
        <v>147</v>
      </c>
      <c r="D655" s="8">
        <v>4.1900000000000004</v>
      </c>
      <c r="E655" s="4">
        <v>114</v>
      </c>
      <c r="F655" s="8">
        <v>6.46</v>
      </c>
      <c r="G655" s="4">
        <v>32</v>
      </c>
      <c r="H655" s="8">
        <v>1.84</v>
      </c>
      <c r="I655" s="4">
        <v>1</v>
      </c>
    </row>
    <row r="656" spans="1:9" x14ac:dyDescent="0.15">
      <c r="A656" s="2">
        <v>8</v>
      </c>
      <c r="B656" s="1" t="s">
        <v>103</v>
      </c>
      <c r="C656" s="4">
        <v>132</v>
      </c>
      <c r="D656" s="8">
        <v>3.76</v>
      </c>
      <c r="E656" s="4">
        <v>109</v>
      </c>
      <c r="F656" s="8">
        <v>6.17</v>
      </c>
      <c r="G656" s="4">
        <v>23</v>
      </c>
      <c r="H656" s="8">
        <v>1.32</v>
      </c>
      <c r="I656" s="4">
        <v>0</v>
      </c>
    </row>
    <row r="657" spans="1:9" x14ac:dyDescent="0.15">
      <c r="A657" s="2">
        <v>9</v>
      </c>
      <c r="B657" s="1" t="s">
        <v>87</v>
      </c>
      <c r="C657" s="4">
        <v>130</v>
      </c>
      <c r="D657" s="8">
        <v>3.7</v>
      </c>
      <c r="E657" s="4">
        <v>27</v>
      </c>
      <c r="F657" s="8">
        <v>1.53</v>
      </c>
      <c r="G657" s="4">
        <v>103</v>
      </c>
      <c r="H657" s="8">
        <v>5.91</v>
      </c>
      <c r="I657" s="4">
        <v>0</v>
      </c>
    </row>
    <row r="658" spans="1:9" x14ac:dyDescent="0.15">
      <c r="A658" s="2">
        <v>10</v>
      </c>
      <c r="B658" s="1" t="s">
        <v>92</v>
      </c>
      <c r="C658" s="4">
        <v>128</v>
      </c>
      <c r="D658" s="8">
        <v>3.65</v>
      </c>
      <c r="E658" s="4">
        <v>91</v>
      </c>
      <c r="F658" s="8">
        <v>5.15</v>
      </c>
      <c r="G658" s="4">
        <v>37</v>
      </c>
      <c r="H658" s="8">
        <v>2.12</v>
      </c>
      <c r="I658" s="4">
        <v>0</v>
      </c>
    </row>
    <row r="659" spans="1:9" x14ac:dyDescent="0.15">
      <c r="A659" s="2">
        <v>11</v>
      </c>
      <c r="B659" s="1" t="s">
        <v>98</v>
      </c>
      <c r="C659" s="4">
        <v>84</v>
      </c>
      <c r="D659" s="8">
        <v>2.39</v>
      </c>
      <c r="E659" s="4">
        <v>32</v>
      </c>
      <c r="F659" s="8">
        <v>1.81</v>
      </c>
      <c r="G659" s="4">
        <v>52</v>
      </c>
      <c r="H659" s="8">
        <v>2.99</v>
      </c>
      <c r="I659" s="4">
        <v>0</v>
      </c>
    </row>
    <row r="660" spans="1:9" x14ac:dyDescent="0.15">
      <c r="A660" s="2">
        <v>12</v>
      </c>
      <c r="B660" s="1" t="s">
        <v>93</v>
      </c>
      <c r="C660" s="4">
        <v>81</v>
      </c>
      <c r="D660" s="8">
        <v>2.31</v>
      </c>
      <c r="E660" s="4">
        <v>44</v>
      </c>
      <c r="F660" s="8">
        <v>2.4900000000000002</v>
      </c>
      <c r="G660" s="4">
        <v>37</v>
      </c>
      <c r="H660" s="8">
        <v>2.12</v>
      </c>
      <c r="I660" s="4">
        <v>0</v>
      </c>
    </row>
    <row r="661" spans="1:9" x14ac:dyDescent="0.15">
      <c r="A661" s="2">
        <v>13</v>
      </c>
      <c r="B661" s="1" t="s">
        <v>91</v>
      </c>
      <c r="C661" s="4">
        <v>80</v>
      </c>
      <c r="D661" s="8">
        <v>2.2799999999999998</v>
      </c>
      <c r="E661" s="4">
        <v>21</v>
      </c>
      <c r="F661" s="8">
        <v>1.19</v>
      </c>
      <c r="G661" s="4">
        <v>59</v>
      </c>
      <c r="H661" s="8">
        <v>3.39</v>
      </c>
      <c r="I661" s="4">
        <v>0</v>
      </c>
    </row>
    <row r="662" spans="1:9" x14ac:dyDescent="0.15">
      <c r="A662" s="2">
        <v>14</v>
      </c>
      <c r="B662" s="1" t="s">
        <v>89</v>
      </c>
      <c r="C662" s="4">
        <v>75</v>
      </c>
      <c r="D662" s="8">
        <v>2.14</v>
      </c>
      <c r="E662" s="4">
        <v>19</v>
      </c>
      <c r="F662" s="8">
        <v>1.08</v>
      </c>
      <c r="G662" s="4">
        <v>56</v>
      </c>
      <c r="H662" s="8">
        <v>3.21</v>
      </c>
      <c r="I662" s="4">
        <v>0</v>
      </c>
    </row>
    <row r="663" spans="1:9" x14ac:dyDescent="0.15">
      <c r="A663" s="2">
        <v>15</v>
      </c>
      <c r="B663" s="1" t="s">
        <v>88</v>
      </c>
      <c r="C663" s="4">
        <v>74</v>
      </c>
      <c r="D663" s="8">
        <v>2.11</v>
      </c>
      <c r="E663" s="4">
        <v>21</v>
      </c>
      <c r="F663" s="8">
        <v>1.19</v>
      </c>
      <c r="G663" s="4">
        <v>53</v>
      </c>
      <c r="H663" s="8">
        <v>3.04</v>
      </c>
      <c r="I663" s="4">
        <v>0</v>
      </c>
    </row>
    <row r="664" spans="1:9" x14ac:dyDescent="0.15">
      <c r="A664" s="2">
        <v>16</v>
      </c>
      <c r="B664" s="1" t="s">
        <v>97</v>
      </c>
      <c r="C664" s="4">
        <v>66</v>
      </c>
      <c r="D664" s="8">
        <v>1.88</v>
      </c>
      <c r="E664" s="4">
        <v>45</v>
      </c>
      <c r="F664" s="8">
        <v>2.5499999999999998</v>
      </c>
      <c r="G664" s="4">
        <v>21</v>
      </c>
      <c r="H664" s="8">
        <v>1.21</v>
      </c>
      <c r="I664" s="4">
        <v>0</v>
      </c>
    </row>
    <row r="665" spans="1:9" x14ac:dyDescent="0.15">
      <c r="A665" s="2">
        <v>17</v>
      </c>
      <c r="B665" s="1" t="s">
        <v>95</v>
      </c>
      <c r="C665" s="4">
        <v>54</v>
      </c>
      <c r="D665" s="8">
        <v>1.54</v>
      </c>
      <c r="E665" s="4">
        <v>7</v>
      </c>
      <c r="F665" s="8">
        <v>0.4</v>
      </c>
      <c r="G665" s="4">
        <v>47</v>
      </c>
      <c r="H665" s="8">
        <v>2.7</v>
      </c>
      <c r="I665" s="4">
        <v>0</v>
      </c>
    </row>
    <row r="666" spans="1:9" x14ac:dyDescent="0.15">
      <c r="A666" s="2">
        <v>18</v>
      </c>
      <c r="B666" s="1" t="s">
        <v>117</v>
      </c>
      <c r="C666" s="4">
        <v>50</v>
      </c>
      <c r="D666" s="8">
        <v>1.42</v>
      </c>
      <c r="E666" s="4">
        <v>36</v>
      </c>
      <c r="F666" s="8">
        <v>2.04</v>
      </c>
      <c r="G666" s="4">
        <v>14</v>
      </c>
      <c r="H666" s="8">
        <v>0.8</v>
      </c>
      <c r="I666" s="4">
        <v>0</v>
      </c>
    </row>
    <row r="667" spans="1:9" x14ac:dyDescent="0.15">
      <c r="A667" s="2">
        <v>19</v>
      </c>
      <c r="B667" s="1" t="s">
        <v>90</v>
      </c>
      <c r="C667" s="4">
        <v>43</v>
      </c>
      <c r="D667" s="8">
        <v>1.23</v>
      </c>
      <c r="E667" s="4">
        <v>5</v>
      </c>
      <c r="F667" s="8">
        <v>0.28000000000000003</v>
      </c>
      <c r="G667" s="4">
        <v>38</v>
      </c>
      <c r="H667" s="8">
        <v>2.1800000000000002</v>
      </c>
      <c r="I667" s="4">
        <v>0</v>
      </c>
    </row>
    <row r="668" spans="1:9" x14ac:dyDescent="0.15">
      <c r="A668" s="2">
        <v>20</v>
      </c>
      <c r="B668" s="1" t="s">
        <v>106</v>
      </c>
      <c r="C668" s="4">
        <v>42</v>
      </c>
      <c r="D668" s="8">
        <v>1.2</v>
      </c>
      <c r="E668" s="4">
        <v>4</v>
      </c>
      <c r="F668" s="8">
        <v>0.23</v>
      </c>
      <c r="G668" s="4">
        <v>38</v>
      </c>
      <c r="H668" s="8">
        <v>2.1800000000000002</v>
      </c>
      <c r="I668" s="4">
        <v>0</v>
      </c>
    </row>
    <row r="669" spans="1:9" x14ac:dyDescent="0.15">
      <c r="A669" s="1"/>
      <c r="C669" s="4"/>
      <c r="D669" s="8"/>
      <c r="E669" s="4"/>
      <c r="F669" s="8"/>
      <c r="G669" s="4"/>
      <c r="H669" s="8"/>
      <c r="I669" s="4"/>
    </row>
    <row r="670" spans="1:9" x14ac:dyDescent="0.15">
      <c r="A670" s="1" t="s">
        <v>30</v>
      </c>
      <c r="C670" s="4"/>
      <c r="D670" s="8"/>
      <c r="E670" s="4"/>
      <c r="F670" s="8"/>
      <c r="G670" s="4"/>
      <c r="H670" s="8"/>
      <c r="I670" s="4"/>
    </row>
    <row r="671" spans="1:9" x14ac:dyDescent="0.15">
      <c r="A671" s="2">
        <v>1</v>
      </c>
      <c r="B671" s="1" t="s">
        <v>99</v>
      </c>
      <c r="C671" s="4">
        <v>585</v>
      </c>
      <c r="D671" s="8">
        <v>11.55</v>
      </c>
      <c r="E671" s="4">
        <v>500</v>
      </c>
      <c r="F671" s="8">
        <v>22.09</v>
      </c>
      <c r="G671" s="4">
        <v>85</v>
      </c>
      <c r="H671" s="8">
        <v>3.04</v>
      </c>
      <c r="I671" s="4">
        <v>0</v>
      </c>
    </row>
    <row r="672" spans="1:9" x14ac:dyDescent="0.15">
      <c r="A672" s="2">
        <v>2</v>
      </c>
      <c r="B672" s="1" t="s">
        <v>100</v>
      </c>
      <c r="C672" s="4">
        <v>543</v>
      </c>
      <c r="D672" s="8">
        <v>10.72</v>
      </c>
      <c r="E672" s="4">
        <v>434</v>
      </c>
      <c r="F672" s="8">
        <v>19.18</v>
      </c>
      <c r="G672" s="4">
        <v>109</v>
      </c>
      <c r="H672" s="8">
        <v>3.9</v>
      </c>
      <c r="I672" s="4">
        <v>0</v>
      </c>
    </row>
    <row r="673" spans="1:9" x14ac:dyDescent="0.15">
      <c r="A673" s="2">
        <v>3</v>
      </c>
      <c r="B673" s="1" t="s">
        <v>96</v>
      </c>
      <c r="C673" s="4">
        <v>319</v>
      </c>
      <c r="D673" s="8">
        <v>6.3</v>
      </c>
      <c r="E673" s="4">
        <v>149</v>
      </c>
      <c r="F673" s="8">
        <v>6.58</v>
      </c>
      <c r="G673" s="4">
        <v>168</v>
      </c>
      <c r="H673" s="8">
        <v>6.01</v>
      </c>
      <c r="I673" s="4">
        <v>2</v>
      </c>
    </row>
    <row r="674" spans="1:9" x14ac:dyDescent="0.15">
      <c r="A674" s="2">
        <v>4</v>
      </c>
      <c r="B674" s="1" t="s">
        <v>86</v>
      </c>
      <c r="C674" s="4">
        <v>310</v>
      </c>
      <c r="D674" s="8">
        <v>6.12</v>
      </c>
      <c r="E674" s="4">
        <v>82</v>
      </c>
      <c r="F674" s="8">
        <v>3.62</v>
      </c>
      <c r="G674" s="4">
        <v>228</v>
      </c>
      <c r="H674" s="8">
        <v>8.16</v>
      </c>
      <c r="I674" s="4">
        <v>0</v>
      </c>
    </row>
    <row r="675" spans="1:9" x14ac:dyDescent="0.15">
      <c r="A675" s="2">
        <v>5</v>
      </c>
      <c r="B675" s="1" t="s">
        <v>85</v>
      </c>
      <c r="C675" s="4">
        <v>304</v>
      </c>
      <c r="D675" s="8">
        <v>6</v>
      </c>
      <c r="E675" s="4">
        <v>49</v>
      </c>
      <c r="F675" s="8">
        <v>2.17</v>
      </c>
      <c r="G675" s="4">
        <v>255</v>
      </c>
      <c r="H675" s="8">
        <v>9.1199999999999992</v>
      </c>
      <c r="I675" s="4">
        <v>0</v>
      </c>
    </row>
    <row r="676" spans="1:9" x14ac:dyDescent="0.15">
      <c r="A676" s="2">
        <v>6</v>
      </c>
      <c r="B676" s="1" t="s">
        <v>94</v>
      </c>
      <c r="C676" s="4">
        <v>232</v>
      </c>
      <c r="D676" s="8">
        <v>4.58</v>
      </c>
      <c r="E676" s="4">
        <v>116</v>
      </c>
      <c r="F676" s="8">
        <v>5.13</v>
      </c>
      <c r="G676" s="4">
        <v>116</v>
      </c>
      <c r="H676" s="8">
        <v>4.1500000000000004</v>
      </c>
      <c r="I676" s="4">
        <v>0</v>
      </c>
    </row>
    <row r="677" spans="1:9" x14ac:dyDescent="0.15">
      <c r="A677" s="2">
        <v>7</v>
      </c>
      <c r="B677" s="1" t="s">
        <v>87</v>
      </c>
      <c r="C677" s="4">
        <v>218</v>
      </c>
      <c r="D677" s="8">
        <v>4.3</v>
      </c>
      <c r="E677" s="4">
        <v>30</v>
      </c>
      <c r="F677" s="8">
        <v>1.33</v>
      </c>
      <c r="G677" s="4">
        <v>188</v>
      </c>
      <c r="H677" s="8">
        <v>6.73</v>
      </c>
      <c r="I677" s="4">
        <v>0</v>
      </c>
    </row>
    <row r="678" spans="1:9" x14ac:dyDescent="0.15">
      <c r="A678" s="2">
        <v>8</v>
      </c>
      <c r="B678" s="1" t="s">
        <v>102</v>
      </c>
      <c r="C678" s="4">
        <v>216</v>
      </c>
      <c r="D678" s="8">
        <v>4.26</v>
      </c>
      <c r="E678" s="4">
        <v>162</v>
      </c>
      <c r="F678" s="8">
        <v>7.16</v>
      </c>
      <c r="G678" s="4">
        <v>53</v>
      </c>
      <c r="H678" s="8">
        <v>1.9</v>
      </c>
      <c r="I678" s="4">
        <v>1</v>
      </c>
    </row>
    <row r="679" spans="1:9" x14ac:dyDescent="0.15">
      <c r="A679" s="2">
        <v>9</v>
      </c>
      <c r="B679" s="1" t="s">
        <v>103</v>
      </c>
      <c r="C679" s="4">
        <v>183</v>
      </c>
      <c r="D679" s="8">
        <v>3.61</v>
      </c>
      <c r="E679" s="4">
        <v>159</v>
      </c>
      <c r="F679" s="8">
        <v>7.03</v>
      </c>
      <c r="G679" s="4">
        <v>24</v>
      </c>
      <c r="H679" s="8">
        <v>0.86</v>
      </c>
      <c r="I679" s="4">
        <v>0</v>
      </c>
    </row>
    <row r="680" spans="1:9" x14ac:dyDescent="0.15">
      <c r="A680" s="2">
        <v>10</v>
      </c>
      <c r="B680" s="1" t="s">
        <v>92</v>
      </c>
      <c r="C680" s="4">
        <v>142</v>
      </c>
      <c r="D680" s="8">
        <v>2.8</v>
      </c>
      <c r="E680" s="4">
        <v>84</v>
      </c>
      <c r="F680" s="8">
        <v>3.71</v>
      </c>
      <c r="G680" s="4">
        <v>57</v>
      </c>
      <c r="H680" s="8">
        <v>2.04</v>
      </c>
      <c r="I680" s="4">
        <v>1</v>
      </c>
    </row>
    <row r="681" spans="1:9" x14ac:dyDescent="0.15">
      <c r="A681" s="2">
        <v>11</v>
      </c>
      <c r="B681" s="1" t="s">
        <v>89</v>
      </c>
      <c r="C681" s="4">
        <v>135</v>
      </c>
      <c r="D681" s="8">
        <v>2.67</v>
      </c>
      <c r="E681" s="4">
        <v>16</v>
      </c>
      <c r="F681" s="8">
        <v>0.71</v>
      </c>
      <c r="G681" s="4">
        <v>119</v>
      </c>
      <c r="H681" s="8">
        <v>4.26</v>
      </c>
      <c r="I681" s="4">
        <v>0</v>
      </c>
    </row>
    <row r="682" spans="1:9" x14ac:dyDescent="0.15">
      <c r="A682" s="2">
        <v>11</v>
      </c>
      <c r="B682" s="1" t="s">
        <v>93</v>
      </c>
      <c r="C682" s="4">
        <v>135</v>
      </c>
      <c r="D682" s="8">
        <v>2.67</v>
      </c>
      <c r="E682" s="4">
        <v>50</v>
      </c>
      <c r="F682" s="8">
        <v>2.21</v>
      </c>
      <c r="G682" s="4">
        <v>85</v>
      </c>
      <c r="H682" s="8">
        <v>3.04</v>
      </c>
      <c r="I682" s="4">
        <v>0</v>
      </c>
    </row>
    <row r="683" spans="1:9" x14ac:dyDescent="0.15">
      <c r="A683" s="2">
        <v>11</v>
      </c>
      <c r="B683" s="1" t="s">
        <v>98</v>
      </c>
      <c r="C683" s="4">
        <v>135</v>
      </c>
      <c r="D683" s="8">
        <v>2.67</v>
      </c>
      <c r="E683" s="4">
        <v>34</v>
      </c>
      <c r="F683" s="8">
        <v>1.5</v>
      </c>
      <c r="G683" s="4">
        <v>101</v>
      </c>
      <c r="H683" s="8">
        <v>3.61</v>
      </c>
      <c r="I683" s="4">
        <v>0</v>
      </c>
    </row>
    <row r="684" spans="1:9" x14ac:dyDescent="0.15">
      <c r="A684" s="2">
        <v>14</v>
      </c>
      <c r="B684" s="1" t="s">
        <v>97</v>
      </c>
      <c r="C684" s="4">
        <v>125</v>
      </c>
      <c r="D684" s="8">
        <v>2.4700000000000002</v>
      </c>
      <c r="E684" s="4">
        <v>93</v>
      </c>
      <c r="F684" s="8">
        <v>4.1100000000000003</v>
      </c>
      <c r="G684" s="4">
        <v>32</v>
      </c>
      <c r="H684" s="8">
        <v>1.1399999999999999</v>
      </c>
      <c r="I684" s="4">
        <v>0</v>
      </c>
    </row>
    <row r="685" spans="1:9" x14ac:dyDescent="0.15">
      <c r="A685" s="2">
        <v>15</v>
      </c>
      <c r="B685" s="1" t="s">
        <v>95</v>
      </c>
      <c r="C685" s="4">
        <v>117</v>
      </c>
      <c r="D685" s="8">
        <v>2.31</v>
      </c>
      <c r="E685" s="4">
        <v>7</v>
      </c>
      <c r="F685" s="8">
        <v>0.31</v>
      </c>
      <c r="G685" s="4">
        <v>110</v>
      </c>
      <c r="H685" s="8">
        <v>3.94</v>
      </c>
      <c r="I685" s="4">
        <v>0</v>
      </c>
    </row>
    <row r="686" spans="1:9" x14ac:dyDescent="0.15">
      <c r="A686" s="2">
        <v>16</v>
      </c>
      <c r="B686" s="1" t="s">
        <v>88</v>
      </c>
      <c r="C686" s="4">
        <v>116</v>
      </c>
      <c r="D686" s="8">
        <v>2.29</v>
      </c>
      <c r="E686" s="4">
        <v>16</v>
      </c>
      <c r="F686" s="8">
        <v>0.71</v>
      </c>
      <c r="G686" s="4">
        <v>100</v>
      </c>
      <c r="H686" s="8">
        <v>3.58</v>
      </c>
      <c r="I686" s="4">
        <v>0</v>
      </c>
    </row>
    <row r="687" spans="1:9" x14ac:dyDescent="0.15">
      <c r="A687" s="2">
        <v>17</v>
      </c>
      <c r="B687" s="1" t="s">
        <v>106</v>
      </c>
      <c r="C687" s="4">
        <v>89</v>
      </c>
      <c r="D687" s="8">
        <v>1.76</v>
      </c>
      <c r="E687" s="4">
        <v>21</v>
      </c>
      <c r="F687" s="8">
        <v>0.93</v>
      </c>
      <c r="G687" s="4">
        <v>68</v>
      </c>
      <c r="H687" s="8">
        <v>2.4300000000000002</v>
      </c>
      <c r="I687" s="4">
        <v>0</v>
      </c>
    </row>
    <row r="688" spans="1:9" x14ac:dyDescent="0.15">
      <c r="A688" s="2">
        <v>18</v>
      </c>
      <c r="B688" s="1" t="s">
        <v>91</v>
      </c>
      <c r="C688" s="4">
        <v>78</v>
      </c>
      <c r="D688" s="8">
        <v>1.54</v>
      </c>
      <c r="E688" s="4">
        <v>38</v>
      </c>
      <c r="F688" s="8">
        <v>1.68</v>
      </c>
      <c r="G688" s="4">
        <v>40</v>
      </c>
      <c r="H688" s="8">
        <v>1.43</v>
      </c>
      <c r="I688" s="4">
        <v>0</v>
      </c>
    </row>
    <row r="689" spans="1:9" x14ac:dyDescent="0.15">
      <c r="A689" s="2">
        <v>19</v>
      </c>
      <c r="B689" s="1" t="s">
        <v>108</v>
      </c>
      <c r="C689" s="4">
        <v>75</v>
      </c>
      <c r="D689" s="8">
        <v>1.48</v>
      </c>
      <c r="E689" s="4">
        <v>1</v>
      </c>
      <c r="F689" s="8">
        <v>0.04</v>
      </c>
      <c r="G689" s="4">
        <v>74</v>
      </c>
      <c r="H689" s="8">
        <v>2.65</v>
      </c>
      <c r="I689" s="4">
        <v>0</v>
      </c>
    </row>
    <row r="690" spans="1:9" x14ac:dyDescent="0.15">
      <c r="A690" s="2">
        <v>20</v>
      </c>
      <c r="B690" s="1" t="s">
        <v>117</v>
      </c>
      <c r="C690" s="4">
        <v>69</v>
      </c>
      <c r="D690" s="8">
        <v>1.36</v>
      </c>
      <c r="E690" s="4">
        <v>32</v>
      </c>
      <c r="F690" s="8">
        <v>1.41</v>
      </c>
      <c r="G690" s="4">
        <v>37</v>
      </c>
      <c r="H690" s="8">
        <v>1.32</v>
      </c>
      <c r="I690" s="4">
        <v>0</v>
      </c>
    </row>
    <row r="691" spans="1:9" x14ac:dyDescent="0.15">
      <c r="A691" s="1"/>
      <c r="C691" s="4"/>
      <c r="D691" s="8"/>
      <c r="E691" s="4"/>
      <c r="F691" s="8"/>
      <c r="G691" s="4"/>
      <c r="H691" s="8"/>
      <c r="I691" s="4"/>
    </row>
    <row r="692" spans="1:9" x14ac:dyDescent="0.15">
      <c r="A692" s="1" t="s">
        <v>31</v>
      </c>
      <c r="C692" s="4"/>
      <c r="D692" s="8"/>
      <c r="E692" s="4"/>
      <c r="F692" s="8"/>
      <c r="G692" s="4"/>
      <c r="H692" s="8"/>
      <c r="I692" s="4"/>
    </row>
    <row r="693" spans="1:9" x14ac:dyDescent="0.15">
      <c r="A693" s="2">
        <v>1</v>
      </c>
      <c r="B693" s="1" t="s">
        <v>96</v>
      </c>
      <c r="C693" s="4">
        <v>586</v>
      </c>
      <c r="D693" s="8">
        <v>12.53</v>
      </c>
      <c r="E693" s="4">
        <v>402</v>
      </c>
      <c r="F693" s="8">
        <v>17.329999999999998</v>
      </c>
      <c r="G693" s="4">
        <v>184</v>
      </c>
      <c r="H693" s="8">
        <v>7.82</v>
      </c>
      <c r="I693" s="4">
        <v>0</v>
      </c>
    </row>
    <row r="694" spans="1:9" x14ac:dyDescent="0.15">
      <c r="A694" s="2">
        <v>2</v>
      </c>
      <c r="B694" s="1" t="s">
        <v>100</v>
      </c>
      <c r="C694" s="4">
        <v>511</v>
      </c>
      <c r="D694" s="8">
        <v>10.92</v>
      </c>
      <c r="E694" s="4">
        <v>420</v>
      </c>
      <c r="F694" s="8">
        <v>18.100000000000001</v>
      </c>
      <c r="G694" s="4">
        <v>91</v>
      </c>
      <c r="H694" s="8">
        <v>3.87</v>
      </c>
      <c r="I694" s="4">
        <v>0</v>
      </c>
    </row>
    <row r="695" spans="1:9" x14ac:dyDescent="0.15">
      <c r="A695" s="2">
        <v>3</v>
      </c>
      <c r="B695" s="1" t="s">
        <v>99</v>
      </c>
      <c r="C695" s="4">
        <v>433</v>
      </c>
      <c r="D695" s="8">
        <v>9.26</v>
      </c>
      <c r="E695" s="4">
        <v>371</v>
      </c>
      <c r="F695" s="8">
        <v>15.99</v>
      </c>
      <c r="G695" s="4">
        <v>62</v>
      </c>
      <c r="H695" s="8">
        <v>2.63</v>
      </c>
      <c r="I695" s="4">
        <v>0</v>
      </c>
    </row>
    <row r="696" spans="1:9" x14ac:dyDescent="0.15">
      <c r="A696" s="2">
        <v>4</v>
      </c>
      <c r="B696" s="1" t="s">
        <v>86</v>
      </c>
      <c r="C696" s="4">
        <v>265</v>
      </c>
      <c r="D696" s="8">
        <v>5.66</v>
      </c>
      <c r="E696" s="4">
        <v>78</v>
      </c>
      <c r="F696" s="8">
        <v>3.36</v>
      </c>
      <c r="G696" s="4">
        <v>187</v>
      </c>
      <c r="H696" s="8">
        <v>7.94</v>
      </c>
      <c r="I696" s="4">
        <v>0</v>
      </c>
    </row>
    <row r="697" spans="1:9" x14ac:dyDescent="0.15">
      <c r="A697" s="2">
        <v>5</v>
      </c>
      <c r="B697" s="1" t="s">
        <v>94</v>
      </c>
      <c r="C697" s="4">
        <v>260</v>
      </c>
      <c r="D697" s="8">
        <v>5.56</v>
      </c>
      <c r="E697" s="4">
        <v>104</v>
      </c>
      <c r="F697" s="8">
        <v>4.4800000000000004</v>
      </c>
      <c r="G697" s="4">
        <v>156</v>
      </c>
      <c r="H697" s="8">
        <v>6.63</v>
      </c>
      <c r="I697" s="4">
        <v>0</v>
      </c>
    </row>
    <row r="698" spans="1:9" x14ac:dyDescent="0.15">
      <c r="A698" s="2">
        <v>6</v>
      </c>
      <c r="B698" s="1" t="s">
        <v>85</v>
      </c>
      <c r="C698" s="4">
        <v>256</v>
      </c>
      <c r="D698" s="8">
        <v>5.47</v>
      </c>
      <c r="E698" s="4">
        <v>41</v>
      </c>
      <c r="F698" s="8">
        <v>1.77</v>
      </c>
      <c r="G698" s="4">
        <v>215</v>
      </c>
      <c r="H698" s="8">
        <v>9.1300000000000008</v>
      </c>
      <c r="I698" s="4">
        <v>0</v>
      </c>
    </row>
    <row r="699" spans="1:9" x14ac:dyDescent="0.15">
      <c r="A699" s="2">
        <v>7</v>
      </c>
      <c r="B699" s="1" t="s">
        <v>102</v>
      </c>
      <c r="C699" s="4">
        <v>239</v>
      </c>
      <c r="D699" s="8">
        <v>5.1100000000000003</v>
      </c>
      <c r="E699" s="4">
        <v>182</v>
      </c>
      <c r="F699" s="8">
        <v>7.84</v>
      </c>
      <c r="G699" s="4">
        <v>56</v>
      </c>
      <c r="H699" s="8">
        <v>2.38</v>
      </c>
      <c r="I699" s="4">
        <v>1</v>
      </c>
    </row>
    <row r="700" spans="1:9" x14ac:dyDescent="0.15">
      <c r="A700" s="2">
        <v>8</v>
      </c>
      <c r="B700" s="1" t="s">
        <v>103</v>
      </c>
      <c r="C700" s="4">
        <v>219</v>
      </c>
      <c r="D700" s="8">
        <v>4.68</v>
      </c>
      <c r="E700" s="4">
        <v>176</v>
      </c>
      <c r="F700" s="8">
        <v>7.59</v>
      </c>
      <c r="G700" s="4">
        <v>43</v>
      </c>
      <c r="H700" s="8">
        <v>1.83</v>
      </c>
      <c r="I700" s="4">
        <v>0</v>
      </c>
    </row>
    <row r="701" spans="1:9" x14ac:dyDescent="0.15">
      <c r="A701" s="2">
        <v>9</v>
      </c>
      <c r="B701" s="1" t="s">
        <v>87</v>
      </c>
      <c r="C701" s="4">
        <v>195</v>
      </c>
      <c r="D701" s="8">
        <v>4.17</v>
      </c>
      <c r="E701" s="4">
        <v>30</v>
      </c>
      <c r="F701" s="8">
        <v>1.29</v>
      </c>
      <c r="G701" s="4">
        <v>165</v>
      </c>
      <c r="H701" s="8">
        <v>7.01</v>
      </c>
      <c r="I701" s="4">
        <v>0</v>
      </c>
    </row>
    <row r="702" spans="1:9" x14ac:dyDescent="0.15">
      <c r="A702" s="2">
        <v>10</v>
      </c>
      <c r="B702" s="1" t="s">
        <v>92</v>
      </c>
      <c r="C702" s="4">
        <v>178</v>
      </c>
      <c r="D702" s="8">
        <v>3.81</v>
      </c>
      <c r="E702" s="4">
        <v>101</v>
      </c>
      <c r="F702" s="8">
        <v>4.3499999999999996</v>
      </c>
      <c r="G702" s="4">
        <v>77</v>
      </c>
      <c r="H702" s="8">
        <v>3.27</v>
      </c>
      <c r="I702" s="4">
        <v>0</v>
      </c>
    </row>
    <row r="703" spans="1:9" x14ac:dyDescent="0.15">
      <c r="A703" s="2">
        <v>11</v>
      </c>
      <c r="B703" s="1" t="s">
        <v>97</v>
      </c>
      <c r="C703" s="4">
        <v>135</v>
      </c>
      <c r="D703" s="8">
        <v>2.89</v>
      </c>
      <c r="E703" s="4">
        <v>88</v>
      </c>
      <c r="F703" s="8">
        <v>3.79</v>
      </c>
      <c r="G703" s="4">
        <v>47</v>
      </c>
      <c r="H703" s="8">
        <v>2</v>
      </c>
      <c r="I703" s="4">
        <v>0</v>
      </c>
    </row>
    <row r="704" spans="1:9" x14ac:dyDescent="0.15">
      <c r="A704" s="2">
        <v>12</v>
      </c>
      <c r="B704" s="1" t="s">
        <v>95</v>
      </c>
      <c r="C704" s="4">
        <v>125</v>
      </c>
      <c r="D704" s="8">
        <v>2.67</v>
      </c>
      <c r="E704" s="4">
        <v>5</v>
      </c>
      <c r="F704" s="8">
        <v>0.22</v>
      </c>
      <c r="G704" s="4">
        <v>120</v>
      </c>
      <c r="H704" s="8">
        <v>5.0999999999999996</v>
      </c>
      <c r="I704" s="4">
        <v>0</v>
      </c>
    </row>
    <row r="705" spans="1:9" x14ac:dyDescent="0.15">
      <c r="A705" s="2">
        <v>13</v>
      </c>
      <c r="B705" s="1" t="s">
        <v>98</v>
      </c>
      <c r="C705" s="4">
        <v>123</v>
      </c>
      <c r="D705" s="8">
        <v>2.63</v>
      </c>
      <c r="E705" s="4">
        <v>43</v>
      </c>
      <c r="F705" s="8">
        <v>1.85</v>
      </c>
      <c r="G705" s="4">
        <v>80</v>
      </c>
      <c r="H705" s="8">
        <v>3.4</v>
      </c>
      <c r="I705" s="4">
        <v>0</v>
      </c>
    </row>
    <row r="706" spans="1:9" x14ac:dyDescent="0.15">
      <c r="A706" s="2">
        <v>14</v>
      </c>
      <c r="B706" s="1" t="s">
        <v>91</v>
      </c>
      <c r="C706" s="4">
        <v>113</v>
      </c>
      <c r="D706" s="8">
        <v>2.42</v>
      </c>
      <c r="E706" s="4">
        <v>40</v>
      </c>
      <c r="F706" s="8">
        <v>1.72</v>
      </c>
      <c r="G706" s="4">
        <v>73</v>
      </c>
      <c r="H706" s="8">
        <v>3.1</v>
      </c>
      <c r="I706" s="4">
        <v>0</v>
      </c>
    </row>
    <row r="707" spans="1:9" x14ac:dyDescent="0.15">
      <c r="A707" s="2">
        <v>15</v>
      </c>
      <c r="B707" s="1" t="s">
        <v>93</v>
      </c>
      <c r="C707" s="4">
        <v>110</v>
      </c>
      <c r="D707" s="8">
        <v>2.35</v>
      </c>
      <c r="E707" s="4">
        <v>43</v>
      </c>
      <c r="F707" s="8">
        <v>1.85</v>
      </c>
      <c r="G707" s="4">
        <v>67</v>
      </c>
      <c r="H707" s="8">
        <v>2.85</v>
      </c>
      <c r="I707" s="4">
        <v>0</v>
      </c>
    </row>
    <row r="708" spans="1:9" x14ac:dyDescent="0.15">
      <c r="A708" s="2">
        <v>16</v>
      </c>
      <c r="B708" s="1" t="s">
        <v>90</v>
      </c>
      <c r="C708" s="4">
        <v>67</v>
      </c>
      <c r="D708" s="8">
        <v>1.43</v>
      </c>
      <c r="E708" s="4">
        <v>9</v>
      </c>
      <c r="F708" s="8">
        <v>0.39</v>
      </c>
      <c r="G708" s="4">
        <v>58</v>
      </c>
      <c r="H708" s="8">
        <v>2.46</v>
      </c>
      <c r="I708" s="4">
        <v>0</v>
      </c>
    </row>
    <row r="709" spans="1:9" x14ac:dyDescent="0.15">
      <c r="A709" s="2">
        <v>16</v>
      </c>
      <c r="B709" s="1" t="s">
        <v>101</v>
      </c>
      <c r="C709" s="4">
        <v>67</v>
      </c>
      <c r="D709" s="8">
        <v>1.43</v>
      </c>
      <c r="E709" s="4">
        <v>35</v>
      </c>
      <c r="F709" s="8">
        <v>1.51</v>
      </c>
      <c r="G709" s="4">
        <v>31</v>
      </c>
      <c r="H709" s="8">
        <v>1.32</v>
      </c>
      <c r="I709" s="4">
        <v>1</v>
      </c>
    </row>
    <row r="710" spans="1:9" x14ac:dyDescent="0.15">
      <c r="A710" s="2">
        <v>18</v>
      </c>
      <c r="B710" s="1" t="s">
        <v>105</v>
      </c>
      <c r="C710" s="4">
        <v>62</v>
      </c>
      <c r="D710" s="8">
        <v>1.33</v>
      </c>
      <c r="E710" s="4">
        <v>12</v>
      </c>
      <c r="F710" s="8">
        <v>0.52</v>
      </c>
      <c r="G710" s="4">
        <v>50</v>
      </c>
      <c r="H710" s="8">
        <v>2.12</v>
      </c>
      <c r="I710" s="4">
        <v>0</v>
      </c>
    </row>
    <row r="711" spans="1:9" x14ac:dyDescent="0.15">
      <c r="A711" s="2">
        <v>19</v>
      </c>
      <c r="B711" s="1" t="s">
        <v>108</v>
      </c>
      <c r="C711" s="4">
        <v>55</v>
      </c>
      <c r="D711" s="8">
        <v>1.18</v>
      </c>
      <c r="E711" s="4">
        <v>4</v>
      </c>
      <c r="F711" s="8">
        <v>0.17</v>
      </c>
      <c r="G711" s="4">
        <v>50</v>
      </c>
      <c r="H711" s="8">
        <v>2.12</v>
      </c>
      <c r="I711" s="4">
        <v>1</v>
      </c>
    </row>
    <row r="712" spans="1:9" x14ac:dyDescent="0.15">
      <c r="A712" s="2">
        <v>20</v>
      </c>
      <c r="B712" s="1" t="s">
        <v>109</v>
      </c>
      <c r="C712" s="4">
        <v>43</v>
      </c>
      <c r="D712" s="8">
        <v>0.92</v>
      </c>
      <c r="E712" s="4">
        <v>3</v>
      </c>
      <c r="F712" s="8">
        <v>0.13</v>
      </c>
      <c r="G712" s="4">
        <v>40</v>
      </c>
      <c r="H712" s="8">
        <v>1.7</v>
      </c>
      <c r="I712" s="4">
        <v>0</v>
      </c>
    </row>
    <row r="713" spans="1:9" x14ac:dyDescent="0.15">
      <c r="A713" s="1"/>
      <c r="C713" s="4"/>
      <c r="D713" s="8"/>
      <c r="E713" s="4"/>
      <c r="F713" s="8"/>
      <c r="G713" s="4"/>
      <c r="H713" s="8"/>
      <c r="I713" s="4"/>
    </row>
    <row r="714" spans="1:9" x14ac:dyDescent="0.15">
      <c r="A714" s="1" t="s">
        <v>32</v>
      </c>
      <c r="C714" s="4"/>
      <c r="D714" s="8"/>
      <c r="E714" s="4"/>
      <c r="F714" s="8"/>
      <c r="G714" s="4"/>
      <c r="H714" s="8"/>
      <c r="I714" s="4"/>
    </row>
    <row r="715" spans="1:9" x14ac:dyDescent="0.15">
      <c r="A715" s="2">
        <v>1</v>
      </c>
      <c r="B715" s="1" t="s">
        <v>99</v>
      </c>
      <c r="C715" s="4">
        <v>1159</v>
      </c>
      <c r="D715" s="8">
        <v>14.89</v>
      </c>
      <c r="E715" s="4">
        <v>1018</v>
      </c>
      <c r="F715" s="8">
        <v>23.88</v>
      </c>
      <c r="G715" s="4">
        <v>141</v>
      </c>
      <c r="H715" s="8">
        <v>4.01</v>
      </c>
      <c r="I715" s="4">
        <v>0</v>
      </c>
    </row>
    <row r="716" spans="1:9" x14ac:dyDescent="0.15">
      <c r="A716" s="2">
        <v>2</v>
      </c>
      <c r="B716" s="1" t="s">
        <v>100</v>
      </c>
      <c r="C716" s="4">
        <v>906</v>
      </c>
      <c r="D716" s="8">
        <v>11.64</v>
      </c>
      <c r="E716" s="4">
        <v>718</v>
      </c>
      <c r="F716" s="8">
        <v>16.84</v>
      </c>
      <c r="G716" s="4">
        <v>188</v>
      </c>
      <c r="H716" s="8">
        <v>5.35</v>
      </c>
      <c r="I716" s="4">
        <v>0</v>
      </c>
    </row>
    <row r="717" spans="1:9" x14ac:dyDescent="0.15">
      <c r="A717" s="2">
        <v>3</v>
      </c>
      <c r="B717" s="1" t="s">
        <v>96</v>
      </c>
      <c r="C717" s="4">
        <v>675</v>
      </c>
      <c r="D717" s="8">
        <v>8.67</v>
      </c>
      <c r="E717" s="4">
        <v>443</v>
      </c>
      <c r="F717" s="8">
        <v>10.39</v>
      </c>
      <c r="G717" s="4">
        <v>232</v>
      </c>
      <c r="H717" s="8">
        <v>6.6</v>
      </c>
      <c r="I717" s="4">
        <v>0</v>
      </c>
    </row>
    <row r="718" spans="1:9" x14ac:dyDescent="0.15">
      <c r="A718" s="2">
        <v>4</v>
      </c>
      <c r="B718" s="1" t="s">
        <v>94</v>
      </c>
      <c r="C718" s="4">
        <v>579</v>
      </c>
      <c r="D718" s="8">
        <v>7.44</v>
      </c>
      <c r="E718" s="4">
        <v>297</v>
      </c>
      <c r="F718" s="8">
        <v>6.97</v>
      </c>
      <c r="G718" s="4">
        <v>282</v>
      </c>
      <c r="H718" s="8">
        <v>8.0299999999999994</v>
      </c>
      <c r="I718" s="4">
        <v>0</v>
      </c>
    </row>
    <row r="719" spans="1:9" x14ac:dyDescent="0.15">
      <c r="A719" s="2">
        <v>5</v>
      </c>
      <c r="B719" s="1" t="s">
        <v>85</v>
      </c>
      <c r="C719" s="4">
        <v>454</v>
      </c>
      <c r="D719" s="8">
        <v>5.83</v>
      </c>
      <c r="E719" s="4">
        <v>85</v>
      </c>
      <c r="F719" s="8">
        <v>1.99</v>
      </c>
      <c r="G719" s="4">
        <v>369</v>
      </c>
      <c r="H719" s="8">
        <v>10.5</v>
      </c>
      <c r="I719" s="4">
        <v>0</v>
      </c>
    </row>
    <row r="720" spans="1:9" x14ac:dyDescent="0.15">
      <c r="A720" s="2">
        <v>6</v>
      </c>
      <c r="B720" s="1" t="s">
        <v>92</v>
      </c>
      <c r="C720" s="4">
        <v>453</v>
      </c>
      <c r="D720" s="8">
        <v>5.82</v>
      </c>
      <c r="E720" s="4">
        <v>247</v>
      </c>
      <c r="F720" s="8">
        <v>5.79</v>
      </c>
      <c r="G720" s="4">
        <v>205</v>
      </c>
      <c r="H720" s="8">
        <v>5.83</v>
      </c>
      <c r="I720" s="4">
        <v>1</v>
      </c>
    </row>
    <row r="721" spans="1:9" x14ac:dyDescent="0.15">
      <c r="A721" s="2">
        <v>7</v>
      </c>
      <c r="B721" s="1" t="s">
        <v>86</v>
      </c>
      <c r="C721" s="4">
        <v>426</v>
      </c>
      <c r="D721" s="8">
        <v>5.47</v>
      </c>
      <c r="E721" s="4">
        <v>159</v>
      </c>
      <c r="F721" s="8">
        <v>3.73</v>
      </c>
      <c r="G721" s="4">
        <v>267</v>
      </c>
      <c r="H721" s="8">
        <v>7.6</v>
      </c>
      <c r="I721" s="4">
        <v>0</v>
      </c>
    </row>
    <row r="722" spans="1:9" x14ac:dyDescent="0.15">
      <c r="A722" s="2">
        <v>8</v>
      </c>
      <c r="B722" s="1" t="s">
        <v>103</v>
      </c>
      <c r="C722" s="4">
        <v>365</v>
      </c>
      <c r="D722" s="8">
        <v>4.6900000000000004</v>
      </c>
      <c r="E722" s="4">
        <v>318</v>
      </c>
      <c r="F722" s="8">
        <v>7.46</v>
      </c>
      <c r="G722" s="4">
        <v>47</v>
      </c>
      <c r="H722" s="8">
        <v>1.34</v>
      </c>
      <c r="I722" s="4">
        <v>0</v>
      </c>
    </row>
    <row r="723" spans="1:9" x14ac:dyDescent="0.15">
      <c r="A723" s="2">
        <v>9</v>
      </c>
      <c r="B723" s="1" t="s">
        <v>87</v>
      </c>
      <c r="C723" s="4">
        <v>301</v>
      </c>
      <c r="D723" s="8">
        <v>3.87</v>
      </c>
      <c r="E723" s="4">
        <v>49</v>
      </c>
      <c r="F723" s="8">
        <v>1.1499999999999999</v>
      </c>
      <c r="G723" s="4">
        <v>251</v>
      </c>
      <c r="H723" s="8">
        <v>7.14</v>
      </c>
      <c r="I723" s="4">
        <v>1</v>
      </c>
    </row>
    <row r="724" spans="1:9" x14ac:dyDescent="0.15">
      <c r="A724" s="2">
        <v>10</v>
      </c>
      <c r="B724" s="1" t="s">
        <v>102</v>
      </c>
      <c r="C724" s="4">
        <v>299</v>
      </c>
      <c r="D724" s="8">
        <v>3.84</v>
      </c>
      <c r="E724" s="4">
        <v>232</v>
      </c>
      <c r="F724" s="8">
        <v>5.44</v>
      </c>
      <c r="G724" s="4">
        <v>65</v>
      </c>
      <c r="H724" s="8">
        <v>1.85</v>
      </c>
      <c r="I724" s="4">
        <v>2</v>
      </c>
    </row>
    <row r="725" spans="1:9" x14ac:dyDescent="0.15">
      <c r="A725" s="2">
        <v>11</v>
      </c>
      <c r="B725" s="1" t="s">
        <v>91</v>
      </c>
      <c r="C725" s="4">
        <v>219</v>
      </c>
      <c r="D725" s="8">
        <v>2.81</v>
      </c>
      <c r="E725" s="4">
        <v>103</v>
      </c>
      <c r="F725" s="8">
        <v>2.42</v>
      </c>
      <c r="G725" s="4">
        <v>116</v>
      </c>
      <c r="H725" s="8">
        <v>3.3</v>
      </c>
      <c r="I725" s="4">
        <v>0</v>
      </c>
    </row>
    <row r="726" spans="1:9" x14ac:dyDescent="0.15">
      <c r="A726" s="2">
        <v>12</v>
      </c>
      <c r="B726" s="1" t="s">
        <v>93</v>
      </c>
      <c r="C726" s="4">
        <v>198</v>
      </c>
      <c r="D726" s="8">
        <v>2.54</v>
      </c>
      <c r="E726" s="4">
        <v>82</v>
      </c>
      <c r="F726" s="8">
        <v>1.92</v>
      </c>
      <c r="G726" s="4">
        <v>116</v>
      </c>
      <c r="H726" s="8">
        <v>3.3</v>
      </c>
      <c r="I726" s="4">
        <v>0</v>
      </c>
    </row>
    <row r="727" spans="1:9" x14ac:dyDescent="0.15">
      <c r="A727" s="2">
        <v>13</v>
      </c>
      <c r="B727" s="1" t="s">
        <v>97</v>
      </c>
      <c r="C727" s="4">
        <v>165</v>
      </c>
      <c r="D727" s="8">
        <v>2.12</v>
      </c>
      <c r="E727" s="4">
        <v>116</v>
      </c>
      <c r="F727" s="8">
        <v>2.72</v>
      </c>
      <c r="G727" s="4">
        <v>48</v>
      </c>
      <c r="H727" s="8">
        <v>1.37</v>
      </c>
      <c r="I727" s="4">
        <v>1</v>
      </c>
    </row>
    <row r="728" spans="1:9" x14ac:dyDescent="0.15">
      <c r="A728" s="2">
        <v>14</v>
      </c>
      <c r="B728" s="1" t="s">
        <v>98</v>
      </c>
      <c r="C728" s="4">
        <v>143</v>
      </c>
      <c r="D728" s="8">
        <v>1.84</v>
      </c>
      <c r="E728" s="4">
        <v>41</v>
      </c>
      <c r="F728" s="8">
        <v>0.96</v>
      </c>
      <c r="G728" s="4">
        <v>102</v>
      </c>
      <c r="H728" s="8">
        <v>2.9</v>
      </c>
      <c r="I728" s="4">
        <v>0</v>
      </c>
    </row>
    <row r="729" spans="1:9" x14ac:dyDescent="0.15">
      <c r="A729" s="2">
        <v>15</v>
      </c>
      <c r="B729" s="1" t="s">
        <v>95</v>
      </c>
      <c r="C729" s="4">
        <v>131</v>
      </c>
      <c r="D729" s="8">
        <v>1.68</v>
      </c>
      <c r="E729" s="4">
        <v>11</v>
      </c>
      <c r="F729" s="8">
        <v>0.26</v>
      </c>
      <c r="G729" s="4">
        <v>120</v>
      </c>
      <c r="H729" s="8">
        <v>3.41</v>
      </c>
      <c r="I729" s="4">
        <v>0</v>
      </c>
    </row>
    <row r="730" spans="1:9" x14ac:dyDescent="0.15">
      <c r="A730" s="2">
        <v>16</v>
      </c>
      <c r="B730" s="1" t="s">
        <v>101</v>
      </c>
      <c r="C730" s="4">
        <v>98</v>
      </c>
      <c r="D730" s="8">
        <v>1.26</v>
      </c>
      <c r="E730" s="4">
        <v>40</v>
      </c>
      <c r="F730" s="8">
        <v>0.94</v>
      </c>
      <c r="G730" s="4">
        <v>58</v>
      </c>
      <c r="H730" s="8">
        <v>1.65</v>
      </c>
      <c r="I730" s="4">
        <v>0</v>
      </c>
    </row>
    <row r="731" spans="1:9" x14ac:dyDescent="0.15">
      <c r="A731" s="2">
        <v>17</v>
      </c>
      <c r="B731" s="1" t="s">
        <v>108</v>
      </c>
      <c r="C731" s="4">
        <v>94</v>
      </c>
      <c r="D731" s="8">
        <v>1.21</v>
      </c>
      <c r="E731" s="4">
        <v>7</v>
      </c>
      <c r="F731" s="8">
        <v>0.16</v>
      </c>
      <c r="G731" s="4">
        <v>85</v>
      </c>
      <c r="H731" s="8">
        <v>2.42</v>
      </c>
      <c r="I731" s="4">
        <v>2</v>
      </c>
    </row>
    <row r="732" spans="1:9" x14ac:dyDescent="0.15">
      <c r="A732" s="2">
        <v>18</v>
      </c>
      <c r="B732" s="1" t="s">
        <v>116</v>
      </c>
      <c r="C732" s="4">
        <v>91</v>
      </c>
      <c r="D732" s="8">
        <v>1.17</v>
      </c>
      <c r="E732" s="4">
        <v>51</v>
      </c>
      <c r="F732" s="8">
        <v>1.2</v>
      </c>
      <c r="G732" s="4">
        <v>40</v>
      </c>
      <c r="H732" s="8">
        <v>1.1399999999999999</v>
      </c>
      <c r="I732" s="4">
        <v>0</v>
      </c>
    </row>
    <row r="733" spans="1:9" x14ac:dyDescent="0.15">
      <c r="A733" s="2">
        <v>19</v>
      </c>
      <c r="B733" s="1" t="s">
        <v>120</v>
      </c>
      <c r="C733" s="4">
        <v>73</v>
      </c>
      <c r="D733" s="8">
        <v>0.94</v>
      </c>
      <c r="E733" s="4">
        <v>16</v>
      </c>
      <c r="F733" s="8">
        <v>0.38</v>
      </c>
      <c r="G733" s="4">
        <v>57</v>
      </c>
      <c r="H733" s="8">
        <v>1.62</v>
      </c>
      <c r="I733" s="4">
        <v>0</v>
      </c>
    </row>
    <row r="734" spans="1:9" x14ac:dyDescent="0.15">
      <c r="A734" s="2">
        <v>20</v>
      </c>
      <c r="B734" s="1" t="s">
        <v>115</v>
      </c>
      <c r="C734" s="4">
        <v>67</v>
      </c>
      <c r="D734" s="8">
        <v>0.86</v>
      </c>
      <c r="E734" s="4">
        <v>16</v>
      </c>
      <c r="F734" s="8">
        <v>0.38</v>
      </c>
      <c r="G734" s="4">
        <v>51</v>
      </c>
      <c r="H734" s="8">
        <v>1.45</v>
      </c>
      <c r="I734" s="4">
        <v>0</v>
      </c>
    </row>
    <row r="735" spans="1:9" x14ac:dyDescent="0.15">
      <c r="A735" s="1"/>
      <c r="C735" s="4"/>
      <c r="D735" s="8"/>
      <c r="E735" s="4"/>
      <c r="F735" s="8"/>
      <c r="G735" s="4"/>
      <c r="H735" s="8"/>
      <c r="I735" s="4"/>
    </row>
    <row r="736" spans="1:9" x14ac:dyDescent="0.15">
      <c r="A736" s="1" t="s">
        <v>33</v>
      </c>
      <c r="C736" s="4"/>
      <c r="D736" s="8"/>
      <c r="E736" s="4"/>
      <c r="F736" s="8"/>
      <c r="G736" s="4"/>
      <c r="H736" s="8"/>
      <c r="I736" s="4"/>
    </row>
    <row r="737" spans="1:9" x14ac:dyDescent="0.15">
      <c r="A737" s="2">
        <v>1</v>
      </c>
      <c r="B737" s="1" t="s">
        <v>96</v>
      </c>
      <c r="C737" s="4">
        <v>684</v>
      </c>
      <c r="D737" s="8">
        <v>12.36</v>
      </c>
      <c r="E737" s="4">
        <v>443</v>
      </c>
      <c r="F737" s="8">
        <v>16.059999999999999</v>
      </c>
      <c r="G737" s="4">
        <v>240</v>
      </c>
      <c r="H737" s="8">
        <v>8.68</v>
      </c>
      <c r="I737" s="4">
        <v>1</v>
      </c>
    </row>
    <row r="738" spans="1:9" x14ac:dyDescent="0.15">
      <c r="A738" s="2">
        <v>2</v>
      </c>
      <c r="B738" s="1" t="s">
        <v>99</v>
      </c>
      <c r="C738" s="4">
        <v>677</v>
      </c>
      <c r="D738" s="8">
        <v>12.23</v>
      </c>
      <c r="E738" s="4">
        <v>572</v>
      </c>
      <c r="F738" s="8">
        <v>20.73</v>
      </c>
      <c r="G738" s="4">
        <v>104</v>
      </c>
      <c r="H738" s="8">
        <v>3.76</v>
      </c>
      <c r="I738" s="4">
        <v>1</v>
      </c>
    </row>
    <row r="739" spans="1:9" x14ac:dyDescent="0.15">
      <c r="A739" s="2">
        <v>3</v>
      </c>
      <c r="B739" s="1" t="s">
        <v>100</v>
      </c>
      <c r="C739" s="4">
        <v>543</v>
      </c>
      <c r="D739" s="8">
        <v>9.81</v>
      </c>
      <c r="E739" s="4">
        <v>442</v>
      </c>
      <c r="F739" s="8">
        <v>16.02</v>
      </c>
      <c r="G739" s="4">
        <v>101</v>
      </c>
      <c r="H739" s="8">
        <v>3.65</v>
      </c>
      <c r="I739" s="4">
        <v>0</v>
      </c>
    </row>
    <row r="740" spans="1:9" x14ac:dyDescent="0.15">
      <c r="A740" s="2">
        <v>4</v>
      </c>
      <c r="B740" s="1" t="s">
        <v>94</v>
      </c>
      <c r="C740" s="4">
        <v>331</v>
      </c>
      <c r="D740" s="8">
        <v>5.98</v>
      </c>
      <c r="E740" s="4">
        <v>144</v>
      </c>
      <c r="F740" s="8">
        <v>5.22</v>
      </c>
      <c r="G740" s="4">
        <v>187</v>
      </c>
      <c r="H740" s="8">
        <v>6.76</v>
      </c>
      <c r="I740" s="4">
        <v>0</v>
      </c>
    </row>
    <row r="741" spans="1:9" x14ac:dyDescent="0.15">
      <c r="A741" s="2">
        <v>5</v>
      </c>
      <c r="B741" s="1" t="s">
        <v>85</v>
      </c>
      <c r="C741" s="4">
        <v>316</v>
      </c>
      <c r="D741" s="8">
        <v>5.71</v>
      </c>
      <c r="E741" s="4">
        <v>49</v>
      </c>
      <c r="F741" s="8">
        <v>1.78</v>
      </c>
      <c r="G741" s="4">
        <v>267</v>
      </c>
      <c r="H741" s="8">
        <v>9.65</v>
      </c>
      <c r="I741" s="4">
        <v>0</v>
      </c>
    </row>
    <row r="742" spans="1:9" x14ac:dyDescent="0.15">
      <c r="A742" s="2">
        <v>6</v>
      </c>
      <c r="B742" s="1" t="s">
        <v>92</v>
      </c>
      <c r="C742" s="4">
        <v>264</v>
      </c>
      <c r="D742" s="8">
        <v>4.7699999999999996</v>
      </c>
      <c r="E742" s="4">
        <v>157</v>
      </c>
      <c r="F742" s="8">
        <v>5.69</v>
      </c>
      <c r="G742" s="4">
        <v>106</v>
      </c>
      <c r="H742" s="8">
        <v>3.83</v>
      </c>
      <c r="I742" s="4">
        <v>1</v>
      </c>
    </row>
    <row r="743" spans="1:9" x14ac:dyDescent="0.15">
      <c r="A743" s="2">
        <v>7</v>
      </c>
      <c r="B743" s="1" t="s">
        <v>86</v>
      </c>
      <c r="C743" s="4">
        <v>263</v>
      </c>
      <c r="D743" s="8">
        <v>4.75</v>
      </c>
      <c r="E743" s="4">
        <v>73</v>
      </c>
      <c r="F743" s="8">
        <v>2.65</v>
      </c>
      <c r="G743" s="4">
        <v>190</v>
      </c>
      <c r="H743" s="8">
        <v>6.87</v>
      </c>
      <c r="I743" s="4">
        <v>0</v>
      </c>
    </row>
    <row r="744" spans="1:9" x14ac:dyDescent="0.15">
      <c r="A744" s="2">
        <v>8</v>
      </c>
      <c r="B744" s="1" t="s">
        <v>87</v>
      </c>
      <c r="C744" s="4">
        <v>217</v>
      </c>
      <c r="D744" s="8">
        <v>3.92</v>
      </c>
      <c r="E744" s="4">
        <v>19</v>
      </c>
      <c r="F744" s="8">
        <v>0.69</v>
      </c>
      <c r="G744" s="4">
        <v>198</v>
      </c>
      <c r="H744" s="8">
        <v>7.16</v>
      </c>
      <c r="I744" s="4">
        <v>0</v>
      </c>
    </row>
    <row r="745" spans="1:9" x14ac:dyDescent="0.15">
      <c r="A745" s="2">
        <v>9</v>
      </c>
      <c r="B745" s="1" t="s">
        <v>102</v>
      </c>
      <c r="C745" s="4">
        <v>198</v>
      </c>
      <c r="D745" s="8">
        <v>3.58</v>
      </c>
      <c r="E745" s="4">
        <v>151</v>
      </c>
      <c r="F745" s="8">
        <v>5.47</v>
      </c>
      <c r="G745" s="4">
        <v>45</v>
      </c>
      <c r="H745" s="8">
        <v>1.63</v>
      </c>
      <c r="I745" s="4">
        <v>2</v>
      </c>
    </row>
    <row r="746" spans="1:9" x14ac:dyDescent="0.15">
      <c r="A746" s="2">
        <v>10</v>
      </c>
      <c r="B746" s="1" t="s">
        <v>93</v>
      </c>
      <c r="C746" s="4">
        <v>191</v>
      </c>
      <c r="D746" s="8">
        <v>3.45</v>
      </c>
      <c r="E746" s="4">
        <v>78</v>
      </c>
      <c r="F746" s="8">
        <v>2.83</v>
      </c>
      <c r="G746" s="4">
        <v>113</v>
      </c>
      <c r="H746" s="8">
        <v>4.09</v>
      </c>
      <c r="I746" s="4">
        <v>0</v>
      </c>
    </row>
    <row r="747" spans="1:9" x14ac:dyDescent="0.15">
      <c r="A747" s="2">
        <v>11</v>
      </c>
      <c r="B747" s="1" t="s">
        <v>103</v>
      </c>
      <c r="C747" s="4">
        <v>184</v>
      </c>
      <c r="D747" s="8">
        <v>3.32</v>
      </c>
      <c r="E747" s="4">
        <v>164</v>
      </c>
      <c r="F747" s="8">
        <v>5.94</v>
      </c>
      <c r="G747" s="4">
        <v>20</v>
      </c>
      <c r="H747" s="8">
        <v>0.72</v>
      </c>
      <c r="I747" s="4">
        <v>0</v>
      </c>
    </row>
    <row r="748" spans="1:9" x14ac:dyDescent="0.15">
      <c r="A748" s="2">
        <v>12</v>
      </c>
      <c r="B748" s="1" t="s">
        <v>91</v>
      </c>
      <c r="C748" s="4">
        <v>159</v>
      </c>
      <c r="D748" s="8">
        <v>2.87</v>
      </c>
      <c r="E748" s="4">
        <v>67</v>
      </c>
      <c r="F748" s="8">
        <v>2.4300000000000002</v>
      </c>
      <c r="G748" s="4">
        <v>92</v>
      </c>
      <c r="H748" s="8">
        <v>3.33</v>
      </c>
      <c r="I748" s="4">
        <v>0</v>
      </c>
    </row>
    <row r="749" spans="1:9" x14ac:dyDescent="0.15">
      <c r="A749" s="2">
        <v>13</v>
      </c>
      <c r="B749" s="1" t="s">
        <v>97</v>
      </c>
      <c r="C749" s="4">
        <v>117</v>
      </c>
      <c r="D749" s="8">
        <v>2.11</v>
      </c>
      <c r="E749" s="4">
        <v>77</v>
      </c>
      <c r="F749" s="8">
        <v>2.79</v>
      </c>
      <c r="G749" s="4">
        <v>40</v>
      </c>
      <c r="H749" s="8">
        <v>1.45</v>
      </c>
      <c r="I749" s="4">
        <v>0</v>
      </c>
    </row>
    <row r="750" spans="1:9" x14ac:dyDescent="0.15">
      <c r="A750" s="2">
        <v>14</v>
      </c>
      <c r="B750" s="1" t="s">
        <v>95</v>
      </c>
      <c r="C750" s="4">
        <v>102</v>
      </c>
      <c r="D750" s="8">
        <v>1.84</v>
      </c>
      <c r="E750" s="4">
        <v>18</v>
      </c>
      <c r="F750" s="8">
        <v>0.65</v>
      </c>
      <c r="G750" s="4">
        <v>84</v>
      </c>
      <c r="H750" s="8">
        <v>3.04</v>
      </c>
      <c r="I750" s="4">
        <v>0</v>
      </c>
    </row>
    <row r="751" spans="1:9" x14ac:dyDescent="0.15">
      <c r="A751" s="2">
        <v>15</v>
      </c>
      <c r="B751" s="1" t="s">
        <v>98</v>
      </c>
      <c r="C751" s="4">
        <v>98</v>
      </c>
      <c r="D751" s="8">
        <v>1.77</v>
      </c>
      <c r="E751" s="4">
        <v>31</v>
      </c>
      <c r="F751" s="8">
        <v>1.1200000000000001</v>
      </c>
      <c r="G751" s="4">
        <v>67</v>
      </c>
      <c r="H751" s="8">
        <v>2.42</v>
      </c>
      <c r="I751" s="4">
        <v>0</v>
      </c>
    </row>
    <row r="752" spans="1:9" x14ac:dyDescent="0.15">
      <c r="A752" s="2">
        <v>16</v>
      </c>
      <c r="B752" s="1" t="s">
        <v>106</v>
      </c>
      <c r="C752" s="4">
        <v>77</v>
      </c>
      <c r="D752" s="8">
        <v>1.39</v>
      </c>
      <c r="E752" s="4">
        <v>13</v>
      </c>
      <c r="F752" s="8">
        <v>0.47</v>
      </c>
      <c r="G752" s="4">
        <v>64</v>
      </c>
      <c r="H752" s="8">
        <v>2.31</v>
      </c>
      <c r="I752" s="4">
        <v>0</v>
      </c>
    </row>
    <row r="753" spans="1:9" x14ac:dyDescent="0.15">
      <c r="A753" s="2">
        <v>17</v>
      </c>
      <c r="B753" s="1" t="s">
        <v>89</v>
      </c>
      <c r="C753" s="4">
        <v>74</v>
      </c>
      <c r="D753" s="8">
        <v>1.34</v>
      </c>
      <c r="E753" s="4">
        <v>10</v>
      </c>
      <c r="F753" s="8">
        <v>0.36</v>
      </c>
      <c r="G753" s="4">
        <v>64</v>
      </c>
      <c r="H753" s="8">
        <v>2.31</v>
      </c>
      <c r="I753" s="4">
        <v>0</v>
      </c>
    </row>
    <row r="754" spans="1:9" x14ac:dyDescent="0.15">
      <c r="A754" s="2">
        <v>17</v>
      </c>
      <c r="B754" s="1" t="s">
        <v>117</v>
      </c>
      <c r="C754" s="4">
        <v>74</v>
      </c>
      <c r="D754" s="8">
        <v>1.34</v>
      </c>
      <c r="E754" s="4">
        <v>35</v>
      </c>
      <c r="F754" s="8">
        <v>1.27</v>
      </c>
      <c r="G754" s="4">
        <v>39</v>
      </c>
      <c r="H754" s="8">
        <v>1.41</v>
      </c>
      <c r="I754" s="4">
        <v>0</v>
      </c>
    </row>
    <row r="755" spans="1:9" x14ac:dyDescent="0.15">
      <c r="A755" s="2">
        <v>19</v>
      </c>
      <c r="B755" s="1" t="s">
        <v>90</v>
      </c>
      <c r="C755" s="4">
        <v>67</v>
      </c>
      <c r="D755" s="8">
        <v>1.21</v>
      </c>
      <c r="E755" s="4">
        <v>7</v>
      </c>
      <c r="F755" s="8">
        <v>0.25</v>
      </c>
      <c r="G755" s="4">
        <v>60</v>
      </c>
      <c r="H755" s="8">
        <v>2.17</v>
      </c>
      <c r="I755" s="4">
        <v>0</v>
      </c>
    </row>
    <row r="756" spans="1:9" x14ac:dyDescent="0.15">
      <c r="A756" s="2">
        <v>20</v>
      </c>
      <c r="B756" s="1" t="s">
        <v>105</v>
      </c>
      <c r="C756" s="4">
        <v>66</v>
      </c>
      <c r="D756" s="8">
        <v>1.19</v>
      </c>
      <c r="E756" s="4">
        <v>11</v>
      </c>
      <c r="F756" s="8">
        <v>0.4</v>
      </c>
      <c r="G756" s="4">
        <v>55</v>
      </c>
      <c r="H756" s="8">
        <v>1.99</v>
      </c>
      <c r="I756" s="4">
        <v>0</v>
      </c>
    </row>
    <row r="757" spans="1:9" x14ac:dyDescent="0.15">
      <c r="A757" s="1"/>
      <c r="C757" s="4"/>
      <c r="D757" s="8"/>
      <c r="E757" s="4"/>
      <c r="F757" s="8"/>
      <c r="G757" s="4"/>
      <c r="H757" s="8"/>
      <c r="I757" s="4"/>
    </row>
    <row r="758" spans="1:9" x14ac:dyDescent="0.15">
      <c r="A758" s="1" t="s">
        <v>34</v>
      </c>
      <c r="C758" s="4"/>
      <c r="D758" s="8"/>
      <c r="E758" s="4"/>
      <c r="F758" s="8"/>
      <c r="G758" s="4"/>
      <c r="H758" s="8"/>
      <c r="I758" s="4"/>
    </row>
    <row r="759" spans="1:9" x14ac:dyDescent="0.15">
      <c r="A759" s="2">
        <v>1</v>
      </c>
      <c r="B759" s="1" t="s">
        <v>99</v>
      </c>
      <c r="C759" s="4">
        <v>633</v>
      </c>
      <c r="D759" s="8">
        <v>14.64</v>
      </c>
      <c r="E759" s="4">
        <v>513</v>
      </c>
      <c r="F759" s="8">
        <v>22.71</v>
      </c>
      <c r="G759" s="4">
        <v>120</v>
      </c>
      <c r="H759" s="8">
        <v>5.82</v>
      </c>
      <c r="I759" s="4">
        <v>0</v>
      </c>
    </row>
    <row r="760" spans="1:9" x14ac:dyDescent="0.15">
      <c r="A760" s="2">
        <v>2</v>
      </c>
      <c r="B760" s="1" t="s">
        <v>96</v>
      </c>
      <c r="C760" s="4">
        <v>538</v>
      </c>
      <c r="D760" s="8">
        <v>12.44</v>
      </c>
      <c r="E760" s="4">
        <v>308</v>
      </c>
      <c r="F760" s="8">
        <v>13.63</v>
      </c>
      <c r="G760" s="4">
        <v>230</v>
      </c>
      <c r="H760" s="8">
        <v>11.15</v>
      </c>
      <c r="I760" s="4">
        <v>0</v>
      </c>
    </row>
    <row r="761" spans="1:9" x14ac:dyDescent="0.15">
      <c r="A761" s="2">
        <v>3</v>
      </c>
      <c r="B761" s="1" t="s">
        <v>94</v>
      </c>
      <c r="C761" s="4">
        <v>400</v>
      </c>
      <c r="D761" s="8">
        <v>9.25</v>
      </c>
      <c r="E761" s="4">
        <v>208</v>
      </c>
      <c r="F761" s="8">
        <v>9.2100000000000009</v>
      </c>
      <c r="G761" s="4">
        <v>192</v>
      </c>
      <c r="H761" s="8">
        <v>9.31</v>
      </c>
      <c r="I761" s="4">
        <v>0</v>
      </c>
    </row>
    <row r="762" spans="1:9" x14ac:dyDescent="0.15">
      <c r="A762" s="2">
        <v>4</v>
      </c>
      <c r="B762" s="1" t="s">
        <v>100</v>
      </c>
      <c r="C762" s="4">
        <v>325</v>
      </c>
      <c r="D762" s="8">
        <v>7.51</v>
      </c>
      <c r="E762" s="4">
        <v>242</v>
      </c>
      <c r="F762" s="8">
        <v>10.71</v>
      </c>
      <c r="G762" s="4">
        <v>83</v>
      </c>
      <c r="H762" s="8">
        <v>4.03</v>
      </c>
      <c r="I762" s="4">
        <v>0</v>
      </c>
    </row>
    <row r="763" spans="1:9" x14ac:dyDescent="0.15">
      <c r="A763" s="2">
        <v>5</v>
      </c>
      <c r="B763" s="1" t="s">
        <v>92</v>
      </c>
      <c r="C763" s="4">
        <v>305</v>
      </c>
      <c r="D763" s="8">
        <v>7.05</v>
      </c>
      <c r="E763" s="4">
        <v>166</v>
      </c>
      <c r="F763" s="8">
        <v>7.35</v>
      </c>
      <c r="G763" s="4">
        <v>139</v>
      </c>
      <c r="H763" s="8">
        <v>6.74</v>
      </c>
      <c r="I763" s="4">
        <v>0</v>
      </c>
    </row>
    <row r="764" spans="1:9" x14ac:dyDescent="0.15">
      <c r="A764" s="2">
        <v>6</v>
      </c>
      <c r="B764" s="1" t="s">
        <v>91</v>
      </c>
      <c r="C764" s="4">
        <v>293</v>
      </c>
      <c r="D764" s="8">
        <v>6.77</v>
      </c>
      <c r="E764" s="4">
        <v>145</v>
      </c>
      <c r="F764" s="8">
        <v>6.42</v>
      </c>
      <c r="G764" s="4">
        <v>148</v>
      </c>
      <c r="H764" s="8">
        <v>7.18</v>
      </c>
      <c r="I764" s="4">
        <v>0</v>
      </c>
    </row>
    <row r="765" spans="1:9" x14ac:dyDescent="0.15">
      <c r="A765" s="2">
        <v>7</v>
      </c>
      <c r="B765" s="1" t="s">
        <v>102</v>
      </c>
      <c r="C765" s="4">
        <v>198</v>
      </c>
      <c r="D765" s="8">
        <v>4.58</v>
      </c>
      <c r="E765" s="4">
        <v>144</v>
      </c>
      <c r="F765" s="8">
        <v>6.37</v>
      </c>
      <c r="G765" s="4">
        <v>54</v>
      </c>
      <c r="H765" s="8">
        <v>2.62</v>
      </c>
      <c r="I765" s="4">
        <v>0</v>
      </c>
    </row>
    <row r="766" spans="1:9" x14ac:dyDescent="0.15">
      <c r="A766" s="2">
        <v>8</v>
      </c>
      <c r="B766" s="1" t="s">
        <v>97</v>
      </c>
      <c r="C766" s="4">
        <v>188</v>
      </c>
      <c r="D766" s="8">
        <v>4.3499999999999996</v>
      </c>
      <c r="E766" s="4">
        <v>72</v>
      </c>
      <c r="F766" s="8">
        <v>3.19</v>
      </c>
      <c r="G766" s="4">
        <v>114</v>
      </c>
      <c r="H766" s="8">
        <v>5.53</v>
      </c>
      <c r="I766" s="4">
        <v>2</v>
      </c>
    </row>
    <row r="767" spans="1:9" x14ac:dyDescent="0.15">
      <c r="A767" s="2">
        <v>9</v>
      </c>
      <c r="B767" s="1" t="s">
        <v>103</v>
      </c>
      <c r="C767" s="4">
        <v>166</v>
      </c>
      <c r="D767" s="8">
        <v>3.84</v>
      </c>
      <c r="E767" s="4">
        <v>144</v>
      </c>
      <c r="F767" s="8">
        <v>6.37</v>
      </c>
      <c r="G767" s="4">
        <v>22</v>
      </c>
      <c r="H767" s="8">
        <v>1.07</v>
      </c>
      <c r="I767" s="4">
        <v>0</v>
      </c>
    </row>
    <row r="768" spans="1:9" x14ac:dyDescent="0.15">
      <c r="A768" s="2">
        <v>10</v>
      </c>
      <c r="B768" s="1" t="s">
        <v>85</v>
      </c>
      <c r="C768" s="4">
        <v>163</v>
      </c>
      <c r="D768" s="8">
        <v>3.77</v>
      </c>
      <c r="E768" s="4">
        <v>32</v>
      </c>
      <c r="F768" s="8">
        <v>1.42</v>
      </c>
      <c r="G768" s="4">
        <v>131</v>
      </c>
      <c r="H768" s="8">
        <v>6.35</v>
      </c>
      <c r="I768" s="4">
        <v>0</v>
      </c>
    </row>
    <row r="769" spans="1:9" x14ac:dyDescent="0.15">
      <c r="A769" s="2">
        <v>11</v>
      </c>
      <c r="B769" s="1" t="s">
        <v>86</v>
      </c>
      <c r="C769" s="4">
        <v>127</v>
      </c>
      <c r="D769" s="8">
        <v>2.94</v>
      </c>
      <c r="E769" s="4">
        <v>48</v>
      </c>
      <c r="F769" s="8">
        <v>2.12</v>
      </c>
      <c r="G769" s="4">
        <v>79</v>
      </c>
      <c r="H769" s="8">
        <v>3.83</v>
      </c>
      <c r="I769" s="4">
        <v>0</v>
      </c>
    </row>
    <row r="770" spans="1:9" x14ac:dyDescent="0.15">
      <c r="A770" s="2">
        <v>12</v>
      </c>
      <c r="B770" s="1" t="s">
        <v>87</v>
      </c>
      <c r="C770" s="4">
        <v>86</v>
      </c>
      <c r="D770" s="8">
        <v>1.99</v>
      </c>
      <c r="E770" s="4">
        <v>18</v>
      </c>
      <c r="F770" s="8">
        <v>0.8</v>
      </c>
      <c r="G770" s="4">
        <v>67</v>
      </c>
      <c r="H770" s="8">
        <v>3.25</v>
      </c>
      <c r="I770" s="4">
        <v>1</v>
      </c>
    </row>
    <row r="771" spans="1:9" x14ac:dyDescent="0.15">
      <c r="A771" s="2">
        <v>13</v>
      </c>
      <c r="B771" s="1" t="s">
        <v>98</v>
      </c>
      <c r="C771" s="4">
        <v>78</v>
      </c>
      <c r="D771" s="8">
        <v>1.8</v>
      </c>
      <c r="E771" s="4">
        <v>34</v>
      </c>
      <c r="F771" s="8">
        <v>1.51</v>
      </c>
      <c r="G771" s="4">
        <v>44</v>
      </c>
      <c r="H771" s="8">
        <v>2.13</v>
      </c>
      <c r="I771" s="4">
        <v>0</v>
      </c>
    </row>
    <row r="772" spans="1:9" x14ac:dyDescent="0.15">
      <c r="A772" s="2">
        <v>14</v>
      </c>
      <c r="B772" s="1" t="s">
        <v>95</v>
      </c>
      <c r="C772" s="4">
        <v>69</v>
      </c>
      <c r="D772" s="8">
        <v>1.6</v>
      </c>
      <c r="E772" s="4">
        <v>7</v>
      </c>
      <c r="F772" s="8">
        <v>0.31</v>
      </c>
      <c r="G772" s="4">
        <v>62</v>
      </c>
      <c r="H772" s="8">
        <v>3.01</v>
      </c>
      <c r="I772" s="4">
        <v>0</v>
      </c>
    </row>
    <row r="773" spans="1:9" x14ac:dyDescent="0.15">
      <c r="A773" s="2">
        <v>15</v>
      </c>
      <c r="B773" s="1" t="s">
        <v>93</v>
      </c>
      <c r="C773" s="4">
        <v>65</v>
      </c>
      <c r="D773" s="8">
        <v>1.5</v>
      </c>
      <c r="E773" s="4">
        <v>25</v>
      </c>
      <c r="F773" s="8">
        <v>1.1100000000000001</v>
      </c>
      <c r="G773" s="4">
        <v>40</v>
      </c>
      <c r="H773" s="8">
        <v>1.94</v>
      </c>
      <c r="I773" s="4">
        <v>0</v>
      </c>
    </row>
    <row r="774" spans="1:9" x14ac:dyDescent="0.15">
      <c r="A774" s="2">
        <v>16</v>
      </c>
      <c r="B774" s="1" t="s">
        <v>104</v>
      </c>
      <c r="C774" s="4">
        <v>53</v>
      </c>
      <c r="D774" s="8">
        <v>1.23</v>
      </c>
      <c r="E774" s="4">
        <v>11</v>
      </c>
      <c r="F774" s="8">
        <v>0.49</v>
      </c>
      <c r="G774" s="4">
        <v>42</v>
      </c>
      <c r="H774" s="8">
        <v>2.04</v>
      </c>
      <c r="I774" s="4">
        <v>0</v>
      </c>
    </row>
    <row r="775" spans="1:9" x14ac:dyDescent="0.15">
      <c r="A775" s="2">
        <v>17</v>
      </c>
      <c r="B775" s="1" t="s">
        <v>101</v>
      </c>
      <c r="C775" s="4">
        <v>50</v>
      </c>
      <c r="D775" s="8">
        <v>1.1599999999999999</v>
      </c>
      <c r="E775" s="4">
        <v>17</v>
      </c>
      <c r="F775" s="8">
        <v>0.75</v>
      </c>
      <c r="G775" s="4">
        <v>33</v>
      </c>
      <c r="H775" s="8">
        <v>1.6</v>
      </c>
      <c r="I775" s="4">
        <v>0</v>
      </c>
    </row>
    <row r="776" spans="1:9" x14ac:dyDescent="0.15">
      <c r="A776" s="2">
        <v>18</v>
      </c>
      <c r="B776" s="1" t="s">
        <v>105</v>
      </c>
      <c r="C776" s="4">
        <v>40</v>
      </c>
      <c r="D776" s="8">
        <v>0.92</v>
      </c>
      <c r="E776" s="4">
        <v>4</v>
      </c>
      <c r="F776" s="8">
        <v>0.18</v>
      </c>
      <c r="G776" s="4">
        <v>36</v>
      </c>
      <c r="H776" s="8">
        <v>1.75</v>
      </c>
      <c r="I776" s="4">
        <v>0</v>
      </c>
    </row>
    <row r="777" spans="1:9" x14ac:dyDescent="0.15">
      <c r="A777" s="2">
        <v>19</v>
      </c>
      <c r="B777" s="1" t="s">
        <v>118</v>
      </c>
      <c r="C777" s="4">
        <v>37</v>
      </c>
      <c r="D777" s="8">
        <v>0.86</v>
      </c>
      <c r="E777" s="4">
        <v>10</v>
      </c>
      <c r="F777" s="8">
        <v>0.44</v>
      </c>
      <c r="G777" s="4">
        <v>27</v>
      </c>
      <c r="H777" s="8">
        <v>1.31</v>
      </c>
      <c r="I777" s="4">
        <v>0</v>
      </c>
    </row>
    <row r="778" spans="1:9" x14ac:dyDescent="0.15">
      <c r="A778" s="2">
        <v>20</v>
      </c>
      <c r="B778" s="1" t="s">
        <v>109</v>
      </c>
      <c r="C778" s="4">
        <v>35</v>
      </c>
      <c r="D778" s="8">
        <v>0.81</v>
      </c>
      <c r="E778" s="4">
        <v>1</v>
      </c>
      <c r="F778" s="8">
        <v>0.04</v>
      </c>
      <c r="G778" s="4">
        <v>33</v>
      </c>
      <c r="H778" s="8">
        <v>1.6</v>
      </c>
      <c r="I778" s="4">
        <v>1</v>
      </c>
    </row>
    <row r="779" spans="1:9" x14ac:dyDescent="0.15">
      <c r="A779" s="1"/>
      <c r="C779" s="4"/>
      <c r="D779" s="8"/>
      <c r="E779" s="4"/>
      <c r="F779" s="8"/>
      <c r="G779" s="4"/>
      <c r="H779" s="8"/>
      <c r="I779" s="4"/>
    </row>
    <row r="780" spans="1:9" x14ac:dyDescent="0.15">
      <c r="A780" s="1" t="s">
        <v>35</v>
      </c>
      <c r="C780" s="4"/>
      <c r="D780" s="8"/>
      <c r="E780" s="4"/>
      <c r="F780" s="8"/>
      <c r="G780" s="4"/>
      <c r="H780" s="8"/>
      <c r="I780" s="4"/>
    </row>
    <row r="781" spans="1:9" x14ac:dyDescent="0.15">
      <c r="A781" s="2">
        <v>1</v>
      </c>
      <c r="B781" s="1" t="s">
        <v>99</v>
      </c>
      <c r="C781" s="4">
        <v>845</v>
      </c>
      <c r="D781" s="8">
        <v>11.87</v>
      </c>
      <c r="E781" s="4">
        <v>683</v>
      </c>
      <c r="F781" s="8">
        <v>20.21</v>
      </c>
      <c r="G781" s="4">
        <v>162</v>
      </c>
      <c r="H781" s="8">
        <v>4.34</v>
      </c>
      <c r="I781" s="4">
        <v>0</v>
      </c>
    </row>
    <row r="782" spans="1:9" x14ac:dyDescent="0.15">
      <c r="A782" s="2">
        <v>2</v>
      </c>
      <c r="B782" s="1" t="s">
        <v>96</v>
      </c>
      <c r="C782" s="4">
        <v>774</v>
      </c>
      <c r="D782" s="8">
        <v>10.88</v>
      </c>
      <c r="E782" s="4">
        <v>428</v>
      </c>
      <c r="F782" s="8">
        <v>12.67</v>
      </c>
      <c r="G782" s="4">
        <v>343</v>
      </c>
      <c r="H782" s="8">
        <v>9.19</v>
      </c>
      <c r="I782" s="4">
        <v>3</v>
      </c>
    </row>
    <row r="783" spans="1:9" x14ac:dyDescent="0.15">
      <c r="A783" s="2">
        <v>3</v>
      </c>
      <c r="B783" s="1" t="s">
        <v>100</v>
      </c>
      <c r="C783" s="4">
        <v>724</v>
      </c>
      <c r="D783" s="8">
        <v>10.17</v>
      </c>
      <c r="E783" s="4">
        <v>553</v>
      </c>
      <c r="F783" s="8">
        <v>16.37</v>
      </c>
      <c r="G783" s="4">
        <v>171</v>
      </c>
      <c r="H783" s="8">
        <v>4.58</v>
      </c>
      <c r="I783" s="4">
        <v>0</v>
      </c>
    </row>
    <row r="784" spans="1:9" x14ac:dyDescent="0.15">
      <c r="A784" s="2">
        <v>4</v>
      </c>
      <c r="B784" s="1" t="s">
        <v>94</v>
      </c>
      <c r="C784" s="4">
        <v>503</v>
      </c>
      <c r="D784" s="8">
        <v>7.07</v>
      </c>
      <c r="E784" s="4">
        <v>213</v>
      </c>
      <c r="F784" s="8">
        <v>6.3</v>
      </c>
      <c r="G784" s="4">
        <v>290</v>
      </c>
      <c r="H784" s="8">
        <v>7.77</v>
      </c>
      <c r="I784" s="4">
        <v>0</v>
      </c>
    </row>
    <row r="785" spans="1:9" x14ac:dyDescent="0.15">
      <c r="A785" s="2">
        <v>5</v>
      </c>
      <c r="B785" s="1" t="s">
        <v>85</v>
      </c>
      <c r="C785" s="4">
        <v>397</v>
      </c>
      <c r="D785" s="8">
        <v>5.58</v>
      </c>
      <c r="E785" s="4">
        <v>56</v>
      </c>
      <c r="F785" s="8">
        <v>1.66</v>
      </c>
      <c r="G785" s="4">
        <v>341</v>
      </c>
      <c r="H785" s="8">
        <v>9.14</v>
      </c>
      <c r="I785" s="4">
        <v>0</v>
      </c>
    </row>
    <row r="786" spans="1:9" x14ac:dyDescent="0.15">
      <c r="A786" s="2">
        <v>6</v>
      </c>
      <c r="B786" s="1" t="s">
        <v>92</v>
      </c>
      <c r="C786" s="4">
        <v>360</v>
      </c>
      <c r="D786" s="8">
        <v>5.0599999999999996</v>
      </c>
      <c r="E786" s="4">
        <v>182</v>
      </c>
      <c r="F786" s="8">
        <v>5.39</v>
      </c>
      <c r="G786" s="4">
        <v>178</v>
      </c>
      <c r="H786" s="8">
        <v>4.7699999999999996</v>
      </c>
      <c r="I786" s="4">
        <v>0</v>
      </c>
    </row>
    <row r="787" spans="1:9" x14ac:dyDescent="0.15">
      <c r="A787" s="2">
        <v>7</v>
      </c>
      <c r="B787" s="1" t="s">
        <v>103</v>
      </c>
      <c r="C787" s="4">
        <v>357</v>
      </c>
      <c r="D787" s="8">
        <v>5.0199999999999996</v>
      </c>
      <c r="E787" s="4">
        <v>317</v>
      </c>
      <c r="F787" s="8">
        <v>9.3800000000000008</v>
      </c>
      <c r="G787" s="4">
        <v>39</v>
      </c>
      <c r="H787" s="8">
        <v>1.05</v>
      </c>
      <c r="I787" s="4">
        <v>1</v>
      </c>
    </row>
    <row r="788" spans="1:9" x14ac:dyDescent="0.15">
      <c r="A788" s="2">
        <v>8</v>
      </c>
      <c r="B788" s="1" t="s">
        <v>102</v>
      </c>
      <c r="C788" s="4">
        <v>303</v>
      </c>
      <c r="D788" s="8">
        <v>4.26</v>
      </c>
      <c r="E788" s="4">
        <v>197</v>
      </c>
      <c r="F788" s="8">
        <v>5.83</v>
      </c>
      <c r="G788" s="4">
        <v>105</v>
      </c>
      <c r="H788" s="8">
        <v>2.81</v>
      </c>
      <c r="I788" s="4">
        <v>1</v>
      </c>
    </row>
    <row r="789" spans="1:9" x14ac:dyDescent="0.15">
      <c r="A789" s="2">
        <v>9</v>
      </c>
      <c r="B789" s="1" t="s">
        <v>86</v>
      </c>
      <c r="C789" s="4">
        <v>289</v>
      </c>
      <c r="D789" s="8">
        <v>4.0599999999999996</v>
      </c>
      <c r="E789" s="4">
        <v>79</v>
      </c>
      <c r="F789" s="8">
        <v>2.34</v>
      </c>
      <c r="G789" s="4">
        <v>210</v>
      </c>
      <c r="H789" s="8">
        <v>5.63</v>
      </c>
      <c r="I789" s="4">
        <v>0</v>
      </c>
    </row>
    <row r="790" spans="1:9" x14ac:dyDescent="0.15">
      <c r="A790" s="2">
        <v>10</v>
      </c>
      <c r="B790" s="1" t="s">
        <v>87</v>
      </c>
      <c r="C790" s="4">
        <v>248</v>
      </c>
      <c r="D790" s="8">
        <v>3.49</v>
      </c>
      <c r="E790" s="4">
        <v>30</v>
      </c>
      <c r="F790" s="8">
        <v>0.89</v>
      </c>
      <c r="G790" s="4">
        <v>218</v>
      </c>
      <c r="H790" s="8">
        <v>5.84</v>
      </c>
      <c r="I790" s="4">
        <v>0</v>
      </c>
    </row>
    <row r="791" spans="1:9" x14ac:dyDescent="0.15">
      <c r="A791" s="2">
        <v>11</v>
      </c>
      <c r="B791" s="1" t="s">
        <v>93</v>
      </c>
      <c r="C791" s="4">
        <v>201</v>
      </c>
      <c r="D791" s="8">
        <v>2.82</v>
      </c>
      <c r="E791" s="4">
        <v>80</v>
      </c>
      <c r="F791" s="8">
        <v>2.37</v>
      </c>
      <c r="G791" s="4">
        <v>121</v>
      </c>
      <c r="H791" s="8">
        <v>3.24</v>
      </c>
      <c r="I791" s="4">
        <v>0</v>
      </c>
    </row>
    <row r="792" spans="1:9" x14ac:dyDescent="0.15">
      <c r="A792" s="2">
        <v>12</v>
      </c>
      <c r="B792" s="1" t="s">
        <v>91</v>
      </c>
      <c r="C792" s="4">
        <v>186</v>
      </c>
      <c r="D792" s="8">
        <v>2.61</v>
      </c>
      <c r="E792" s="4">
        <v>82</v>
      </c>
      <c r="F792" s="8">
        <v>2.4300000000000002</v>
      </c>
      <c r="G792" s="4">
        <v>104</v>
      </c>
      <c r="H792" s="8">
        <v>2.79</v>
      </c>
      <c r="I792" s="4">
        <v>0</v>
      </c>
    </row>
    <row r="793" spans="1:9" x14ac:dyDescent="0.15">
      <c r="A793" s="2">
        <v>13</v>
      </c>
      <c r="B793" s="1" t="s">
        <v>97</v>
      </c>
      <c r="C793" s="4">
        <v>179</v>
      </c>
      <c r="D793" s="8">
        <v>2.52</v>
      </c>
      <c r="E793" s="4">
        <v>106</v>
      </c>
      <c r="F793" s="8">
        <v>3.14</v>
      </c>
      <c r="G793" s="4">
        <v>73</v>
      </c>
      <c r="H793" s="8">
        <v>1.96</v>
      </c>
      <c r="I793" s="4">
        <v>0</v>
      </c>
    </row>
    <row r="794" spans="1:9" x14ac:dyDescent="0.15">
      <c r="A794" s="2">
        <v>14</v>
      </c>
      <c r="B794" s="1" t="s">
        <v>98</v>
      </c>
      <c r="C794" s="4">
        <v>157</v>
      </c>
      <c r="D794" s="8">
        <v>2.21</v>
      </c>
      <c r="E794" s="4">
        <v>76</v>
      </c>
      <c r="F794" s="8">
        <v>2.25</v>
      </c>
      <c r="G794" s="4">
        <v>81</v>
      </c>
      <c r="H794" s="8">
        <v>2.17</v>
      </c>
      <c r="I794" s="4">
        <v>0</v>
      </c>
    </row>
    <row r="795" spans="1:9" x14ac:dyDescent="0.15">
      <c r="A795" s="2">
        <v>15</v>
      </c>
      <c r="B795" s="1" t="s">
        <v>95</v>
      </c>
      <c r="C795" s="4">
        <v>146</v>
      </c>
      <c r="D795" s="8">
        <v>2.0499999999999998</v>
      </c>
      <c r="E795" s="4">
        <v>9</v>
      </c>
      <c r="F795" s="8">
        <v>0.27</v>
      </c>
      <c r="G795" s="4">
        <v>137</v>
      </c>
      <c r="H795" s="8">
        <v>3.67</v>
      </c>
      <c r="I795" s="4">
        <v>0</v>
      </c>
    </row>
    <row r="796" spans="1:9" x14ac:dyDescent="0.15">
      <c r="A796" s="2">
        <v>16</v>
      </c>
      <c r="B796" s="1" t="s">
        <v>88</v>
      </c>
      <c r="C796" s="4">
        <v>88</v>
      </c>
      <c r="D796" s="8">
        <v>1.24</v>
      </c>
      <c r="E796" s="4">
        <v>12</v>
      </c>
      <c r="F796" s="8">
        <v>0.36</v>
      </c>
      <c r="G796" s="4">
        <v>76</v>
      </c>
      <c r="H796" s="8">
        <v>2.04</v>
      </c>
      <c r="I796" s="4">
        <v>0</v>
      </c>
    </row>
    <row r="797" spans="1:9" x14ac:dyDescent="0.15">
      <c r="A797" s="2">
        <v>17</v>
      </c>
      <c r="B797" s="1" t="s">
        <v>108</v>
      </c>
      <c r="C797" s="4">
        <v>87</v>
      </c>
      <c r="D797" s="8">
        <v>1.22</v>
      </c>
      <c r="E797" s="4">
        <v>2</v>
      </c>
      <c r="F797" s="8">
        <v>0.06</v>
      </c>
      <c r="G797" s="4">
        <v>85</v>
      </c>
      <c r="H797" s="8">
        <v>2.2799999999999998</v>
      </c>
      <c r="I797" s="4">
        <v>0</v>
      </c>
    </row>
    <row r="798" spans="1:9" x14ac:dyDescent="0.15">
      <c r="A798" s="2">
        <v>18</v>
      </c>
      <c r="B798" s="1" t="s">
        <v>101</v>
      </c>
      <c r="C798" s="4">
        <v>86</v>
      </c>
      <c r="D798" s="8">
        <v>1.21</v>
      </c>
      <c r="E798" s="4">
        <v>31</v>
      </c>
      <c r="F798" s="8">
        <v>0.92</v>
      </c>
      <c r="G798" s="4">
        <v>55</v>
      </c>
      <c r="H798" s="8">
        <v>1.47</v>
      </c>
      <c r="I798" s="4">
        <v>0</v>
      </c>
    </row>
    <row r="799" spans="1:9" x14ac:dyDescent="0.15">
      <c r="A799" s="2">
        <v>19</v>
      </c>
      <c r="B799" s="1" t="s">
        <v>90</v>
      </c>
      <c r="C799" s="4">
        <v>83</v>
      </c>
      <c r="D799" s="8">
        <v>1.17</v>
      </c>
      <c r="E799" s="4">
        <v>9</v>
      </c>
      <c r="F799" s="8">
        <v>0.27</v>
      </c>
      <c r="G799" s="4">
        <v>74</v>
      </c>
      <c r="H799" s="8">
        <v>1.98</v>
      </c>
      <c r="I799" s="4">
        <v>0</v>
      </c>
    </row>
    <row r="800" spans="1:9" x14ac:dyDescent="0.15">
      <c r="A800" s="2">
        <v>20</v>
      </c>
      <c r="B800" s="1" t="s">
        <v>105</v>
      </c>
      <c r="C800" s="4">
        <v>75</v>
      </c>
      <c r="D800" s="8">
        <v>1.05</v>
      </c>
      <c r="E800" s="4">
        <v>12</v>
      </c>
      <c r="F800" s="8">
        <v>0.36</v>
      </c>
      <c r="G800" s="4">
        <v>63</v>
      </c>
      <c r="H800" s="8">
        <v>1.69</v>
      </c>
      <c r="I800" s="4">
        <v>0</v>
      </c>
    </row>
    <row r="801" spans="1:9" x14ac:dyDescent="0.15">
      <c r="A801" s="1"/>
      <c r="C801" s="4"/>
      <c r="D801" s="8"/>
      <c r="E801" s="4"/>
      <c r="F801" s="8"/>
      <c r="G801" s="4"/>
      <c r="H801" s="8"/>
      <c r="I801" s="4"/>
    </row>
    <row r="802" spans="1:9" x14ac:dyDescent="0.15">
      <c r="A802" s="1" t="s">
        <v>36</v>
      </c>
      <c r="C802" s="4"/>
      <c r="D802" s="8"/>
      <c r="E802" s="4"/>
      <c r="F802" s="8"/>
      <c r="G802" s="4"/>
      <c r="H802" s="8"/>
      <c r="I802" s="4"/>
    </row>
    <row r="803" spans="1:9" x14ac:dyDescent="0.15">
      <c r="A803" s="2">
        <v>1</v>
      </c>
      <c r="B803" s="1" t="s">
        <v>99</v>
      </c>
      <c r="C803" s="4">
        <v>525</v>
      </c>
      <c r="D803" s="8">
        <v>11.88</v>
      </c>
      <c r="E803" s="4">
        <v>447</v>
      </c>
      <c r="F803" s="8">
        <v>19.97</v>
      </c>
      <c r="G803" s="4">
        <v>78</v>
      </c>
      <c r="H803" s="8">
        <v>3.58</v>
      </c>
      <c r="I803" s="4">
        <v>0</v>
      </c>
    </row>
    <row r="804" spans="1:9" x14ac:dyDescent="0.15">
      <c r="A804" s="2">
        <v>2</v>
      </c>
      <c r="B804" s="1" t="s">
        <v>100</v>
      </c>
      <c r="C804" s="4">
        <v>473</v>
      </c>
      <c r="D804" s="8">
        <v>10.71</v>
      </c>
      <c r="E804" s="4">
        <v>401</v>
      </c>
      <c r="F804" s="8">
        <v>17.920000000000002</v>
      </c>
      <c r="G804" s="4">
        <v>72</v>
      </c>
      <c r="H804" s="8">
        <v>3.3</v>
      </c>
      <c r="I804" s="4">
        <v>0</v>
      </c>
    </row>
    <row r="805" spans="1:9" x14ac:dyDescent="0.15">
      <c r="A805" s="2">
        <v>3</v>
      </c>
      <c r="B805" s="1" t="s">
        <v>94</v>
      </c>
      <c r="C805" s="4">
        <v>345</v>
      </c>
      <c r="D805" s="8">
        <v>7.81</v>
      </c>
      <c r="E805" s="4">
        <v>174</v>
      </c>
      <c r="F805" s="8">
        <v>7.77</v>
      </c>
      <c r="G805" s="4">
        <v>171</v>
      </c>
      <c r="H805" s="8">
        <v>7.84</v>
      </c>
      <c r="I805" s="4">
        <v>0</v>
      </c>
    </row>
    <row r="806" spans="1:9" x14ac:dyDescent="0.15">
      <c r="A806" s="2">
        <v>4</v>
      </c>
      <c r="B806" s="1" t="s">
        <v>96</v>
      </c>
      <c r="C806" s="4">
        <v>337</v>
      </c>
      <c r="D806" s="8">
        <v>7.63</v>
      </c>
      <c r="E806" s="4">
        <v>144</v>
      </c>
      <c r="F806" s="8">
        <v>6.43</v>
      </c>
      <c r="G806" s="4">
        <v>193</v>
      </c>
      <c r="H806" s="8">
        <v>8.85</v>
      </c>
      <c r="I806" s="4">
        <v>0</v>
      </c>
    </row>
    <row r="807" spans="1:9" x14ac:dyDescent="0.15">
      <c r="A807" s="2">
        <v>5</v>
      </c>
      <c r="B807" s="1" t="s">
        <v>92</v>
      </c>
      <c r="C807" s="4">
        <v>277</v>
      </c>
      <c r="D807" s="8">
        <v>6.27</v>
      </c>
      <c r="E807" s="4">
        <v>155</v>
      </c>
      <c r="F807" s="8">
        <v>6.93</v>
      </c>
      <c r="G807" s="4">
        <v>122</v>
      </c>
      <c r="H807" s="8">
        <v>5.6</v>
      </c>
      <c r="I807" s="4">
        <v>0</v>
      </c>
    </row>
    <row r="808" spans="1:9" x14ac:dyDescent="0.15">
      <c r="A808" s="2">
        <v>6</v>
      </c>
      <c r="B808" s="1" t="s">
        <v>85</v>
      </c>
      <c r="C808" s="4">
        <v>264</v>
      </c>
      <c r="D808" s="8">
        <v>5.98</v>
      </c>
      <c r="E808" s="4">
        <v>53</v>
      </c>
      <c r="F808" s="8">
        <v>2.37</v>
      </c>
      <c r="G808" s="4">
        <v>211</v>
      </c>
      <c r="H808" s="8">
        <v>9.68</v>
      </c>
      <c r="I808" s="4">
        <v>0</v>
      </c>
    </row>
    <row r="809" spans="1:9" x14ac:dyDescent="0.15">
      <c r="A809" s="2">
        <v>7</v>
      </c>
      <c r="B809" s="1" t="s">
        <v>86</v>
      </c>
      <c r="C809" s="4">
        <v>183</v>
      </c>
      <c r="D809" s="8">
        <v>4.1399999999999997</v>
      </c>
      <c r="E809" s="4">
        <v>64</v>
      </c>
      <c r="F809" s="8">
        <v>2.86</v>
      </c>
      <c r="G809" s="4">
        <v>119</v>
      </c>
      <c r="H809" s="8">
        <v>5.46</v>
      </c>
      <c r="I809" s="4">
        <v>0</v>
      </c>
    </row>
    <row r="810" spans="1:9" x14ac:dyDescent="0.15">
      <c r="A810" s="2">
        <v>8</v>
      </c>
      <c r="B810" s="1" t="s">
        <v>102</v>
      </c>
      <c r="C810" s="4">
        <v>166</v>
      </c>
      <c r="D810" s="8">
        <v>3.76</v>
      </c>
      <c r="E810" s="4">
        <v>113</v>
      </c>
      <c r="F810" s="8">
        <v>5.05</v>
      </c>
      <c r="G810" s="4">
        <v>53</v>
      </c>
      <c r="H810" s="8">
        <v>2.4300000000000002</v>
      </c>
      <c r="I810" s="4">
        <v>0</v>
      </c>
    </row>
    <row r="811" spans="1:9" x14ac:dyDescent="0.15">
      <c r="A811" s="2">
        <v>9</v>
      </c>
      <c r="B811" s="1" t="s">
        <v>91</v>
      </c>
      <c r="C811" s="4">
        <v>165</v>
      </c>
      <c r="D811" s="8">
        <v>3.73</v>
      </c>
      <c r="E811" s="4">
        <v>68</v>
      </c>
      <c r="F811" s="8">
        <v>3.04</v>
      </c>
      <c r="G811" s="4">
        <v>97</v>
      </c>
      <c r="H811" s="8">
        <v>4.45</v>
      </c>
      <c r="I811" s="4">
        <v>0</v>
      </c>
    </row>
    <row r="812" spans="1:9" x14ac:dyDescent="0.15">
      <c r="A812" s="2">
        <v>10</v>
      </c>
      <c r="B812" s="1" t="s">
        <v>87</v>
      </c>
      <c r="C812" s="4">
        <v>156</v>
      </c>
      <c r="D812" s="8">
        <v>3.53</v>
      </c>
      <c r="E812" s="4">
        <v>24</v>
      </c>
      <c r="F812" s="8">
        <v>1.07</v>
      </c>
      <c r="G812" s="4">
        <v>132</v>
      </c>
      <c r="H812" s="8">
        <v>6.06</v>
      </c>
      <c r="I812" s="4">
        <v>0</v>
      </c>
    </row>
    <row r="813" spans="1:9" x14ac:dyDescent="0.15">
      <c r="A813" s="2">
        <v>11</v>
      </c>
      <c r="B813" s="1" t="s">
        <v>103</v>
      </c>
      <c r="C813" s="4">
        <v>150</v>
      </c>
      <c r="D813" s="8">
        <v>3.4</v>
      </c>
      <c r="E813" s="4">
        <v>125</v>
      </c>
      <c r="F813" s="8">
        <v>5.59</v>
      </c>
      <c r="G813" s="4">
        <v>25</v>
      </c>
      <c r="H813" s="8">
        <v>1.1499999999999999</v>
      </c>
      <c r="I813" s="4">
        <v>0</v>
      </c>
    </row>
    <row r="814" spans="1:9" x14ac:dyDescent="0.15">
      <c r="A814" s="2">
        <v>12</v>
      </c>
      <c r="B814" s="1" t="s">
        <v>93</v>
      </c>
      <c r="C814" s="4">
        <v>129</v>
      </c>
      <c r="D814" s="8">
        <v>2.92</v>
      </c>
      <c r="E814" s="4">
        <v>56</v>
      </c>
      <c r="F814" s="8">
        <v>2.5</v>
      </c>
      <c r="G814" s="4">
        <v>73</v>
      </c>
      <c r="H814" s="8">
        <v>3.35</v>
      </c>
      <c r="I814" s="4">
        <v>0</v>
      </c>
    </row>
    <row r="815" spans="1:9" x14ac:dyDescent="0.15">
      <c r="A815" s="2">
        <v>13</v>
      </c>
      <c r="B815" s="1" t="s">
        <v>97</v>
      </c>
      <c r="C815" s="4">
        <v>128</v>
      </c>
      <c r="D815" s="8">
        <v>2.9</v>
      </c>
      <c r="E815" s="4">
        <v>98</v>
      </c>
      <c r="F815" s="8">
        <v>4.38</v>
      </c>
      <c r="G815" s="4">
        <v>30</v>
      </c>
      <c r="H815" s="8">
        <v>1.38</v>
      </c>
      <c r="I815" s="4">
        <v>0</v>
      </c>
    </row>
    <row r="816" spans="1:9" x14ac:dyDescent="0.15">
      <c r="A816" s="2">
        <v>14</v>
      </c>
      <c r="B816" s="1" t="s">
        <v>98</v>
      </c>
      <c r="C816" s="4">
        <v>81</v>
      </c>
      <c r="D816" s="8">
        <v>1.83</v>
      </c>
      <c r="E816" s="4">
        <v>36</v>
      </c>
      <c r="F816" s="8">
        <v>1.61</v>
      </c>
      <c r="G816" s="4">
        <v>45</v>
      </c>
      <c r="H816" s="8">
        <v>2.06</v>
      </c>
      <c r="I816" s="4">
        <v>0</v>
      </c>
    </row>
    <row r="817" spans="1:9" x14ac:dyDescent="0.15">
      <c r="A817" s="2">
        <v>15</v>
      </c>
      <c r="B817" s="1" t="s">
        <v>107</v>
      </c>
      <c r="C817" s="4">
        <v>69</v>
      </c>
      <c r="D817" s="8">
        <v>1.56</v>
      </c>
      <c r="E817" s="4">
        <v>14</v>
      </c>
      <c r="F817" s="8">
        <v>0.63</v>
      </c>
      <c r="G817" s="4">
        <v>55</v>
      </c>
      <c r="H817" s="8">
        <v>2.52</v>
      </c>
      <c r="I817" s="4">
        <v>0</v>
      </c>
    </row>
    <row r="818" spans="1:9" x14ac:dyDescent="0.15">
      <c r="A818" s="2">
        <v>16</v>
      </c>
      <c r="B818" s="1" t="s">
        <v>121</v>
      </c>
      <c r="C818" s="4">
        <v>67</v>
      </c>
      <c r="D818" s="8">
        <v>1.52</v>
      </c>
      <c r="E818" s="4">
        <v>9</v>
      </c>
      <c r="F818" s="8">
        <v>0.4</v>
      </c>
      <c r="G818" s="4">
        <v>58</v>
      </c>
      <c r="H818" s="8">
        <v>2.66</v>
      </c>
      <c r="I818" s="4">
        <v>0</v>
      </c>
    </row>
    <row r="819" spans="1:9" x14ac:dyDescent="0.15">
      <c r="A819" s="2">
        <v>17</v>
      </c>
      <c r="B819" s="1" t="s">
        <v>95</v>
      </c>
      <c r="C819" s="4">
        <v>65</v>
      </c>
      <c r="D819" s="8">
        <v>1.47</v>
      </c>
      <c r="E819" s="4">
        <v>6</v>
      </c>
      <c r="F819" s="8">
        <v>0.27</v>
      </c>
      <c r="G819" s="4">
        <v>59</v>
      </c>
      <c r="H819" s="8">
        <v>2.71</v>
      </c>
      <c r="I819" s="4">
        <v>0</v>
      </c>
    </row>
    <row r="820" spans="1:9" x14ac:dyDescent="0.15">
      <c r="A820" s="2">
        <v>18</v>
      </c>
      <c r="B820" s="1" t="s">
        <v>106</v>
      </c>
      <c r="C820" s="4">
        <v>59</v>
      </c>
      <c r="D820" s="8">
        <v>1.34</v>
      </c>
      <c r="E820" s="4">
        <v>12</v>
      </c>
      <c r="F820" s="8">
        <v>0.54</v>
      </c>
      <c r="G820" s="4">
        <v>47</v>
      </c>
      <c r="H820" s="8">
        <v>2.16</v>
      </c>
      <c r="I820" s="4">
        <v>0</v>
      </c>
    </row>
    <row r="821" spans="1:9" x14ac:dyDescent="0.15">
      <c r="A821" s="2">
        <v>19</v>
      </c>
      <c r="B821" s="1" t="s">
        <v>117</v>
      </c>
      <c r="C821" s="4">
        <v>55</v>
      </c>
      <c r="D821" s="8">
        <v>1.24</v>
      </c>
      <c r="E821" s="4">
        <v>29</v>
      </c>
      <c r="F821" s="8">
        <v>1.3</v>
      </c>
      <c r="G821" s="4">
        <v>26</v>
      </c>
      <c r="H821" s="8">
        <v>1.19</v>
      </c>
      <c r="I821" s="4">
        <v>0</v>
      </c>
    </row>
    <row r="822" spans="1:9" x14ac:dyDescent="0.15">
      <c r="A822" s="2">
        <v>20</v>
      </c>
      <c r="B822" s="1" t="s">
        <v>105</v>
      </c>
      <c r="C822" s="4">
        <v>51</v>
      </c>
      <c r="D822" s="8">
        <v>1.1499999999999999</v>
      </c>
      <c r="E822" s="4">
        <v>13</v>
      </c>
      <c r="F822" s="8">
        <v>0.57999999999999996</v>
      </c>
      <c r="G822" s="4">
        <v>38</v>
      </c>
      <c r="H822" s="8">
        <v>1.74</v>
      </c>
      <c r="I822" s="4">
        <v>0</v>
      </c>
    </row>
    <row r="823" spans="1:9" x14ac:dyDescent="0.15">
      <c r="A823" s="1"/>
      <c r="C823" s="4"/>
      <c r="D823" s="8"/>
      <c r="E823" s="4"/>
      <c r="F823" s="8"/>
      <c r="G823" s="4"/>
      <c r="H823" s="8"/>
      <c r="I823" s="4"/>
    </row>
    <row r="824" spans="1:9" x14ac:dyDescent="0.15">
      <c r="A824" s="1" t="s">
        <v>37</v>
      </c>
      <c r="C824" s="4"/>
      <c r="D824" s="8"/>
      <c r="E824" s="4"/>
      <c r="F824" s="8"/>
      <c r="G824" s="4"/>
      <c r="H824" s="8"/>
      <c r="I824" s="4"/>
    </row>
    <row r="825" spans="1:9" x14ac:dyDescent="0.15">
      <c r="A825" s="2">
        <v>1</v>
      </c>
      <c r="B825" s="1" t="s">
        <v>96</v>
      </c>
      <c r="C825" s="4">
        <v>531</v>
      </c>
      <c r="D825" s="8">
        <v>13.36</v>
      </c>
      <c r="E825" s="4">
        <v>371</v>
      </c>
      <c r="F825" s="8">
        <v>17.09</v>
      </c>
      <c r="G825" s="4">
        <v>160</v>
      </c>
      <c r="H825" s="8">
        <v>8.89</v>
      </c>
      <c r="I825" s="4">
        <v>0</v>
      </c>
    </row>
    <row r="826" spans="1:9" x14ac:dyDescent="0.15">
      <c r="A826" s="2">
        <v>2</v>
      </c>
      <c r="B826" s="1" t="s">
        <v>99</v>
      </c>
      <c r="C826" s="4">
        <v>493</v>
      </c>
      <c r="D826" s="8">
        <v>12.4</v>
      </c>
      <c r="E826" s="4">
        <v>422</v>
      </c>
      <c r="F826" s="8">
        <v>19.440000000000001</v>
      </c>
      <c r="G826" s="4">
        <v>70</v>
      </c>
      <c r="H826" s="8">
        <v>3.89</v>
      </c>
      <c r="I826" s="4">
        <v>1</v>
      </c>
    </row>
    <row r="827" spans="1:9" x14ac:dyDescent="0.15">
      <c r="A827" s="2">
        <v>3</v>
      </c>
      <c r="B827" s="1" t="s">
        <v>100</v>
      </c>
      <c r="C827" s="4">
        <v>421</v>
      </c>
      <c r="D827" s="8">
        <v>10.59</v>
      </c>
      <c r="E827" s="4">
        <v>343</v>
      </c>
      <c r="F827" s="8">
        <v>15.8</v>
      </c>
      <c r="G827" s="4">
        <v>77</v>
      </c>
      <c r="H827" s="8">
        <v>4.28</v>
      </c>
      <c r="I827" s="4">
        <v>1</v>
      </c>
    </row>
    <row r="828" spans="1:9" x14ac:dyDescent="0.15">
      <c r="A828" s="2">
        <v>4</v>
      </c>
      <c r="B828" s="1" t="s">
        <v>94</v>
      </c>
      <c r="C828" s="4">
        <v>261</v>
      </c>
      <c r="D828" s="8">
        <v>6.56</v>
      </c>
      <c r="E828" s="4">
        <v>123</v>
      </c>
      <c r="F828" s="8">
        <v>5.67</v>
      </c>
      <c r="G828" s="4">
        <v>138</v>
      </c>
      <c r="H828" s="8">
        <v>7.67</v>
      </c>
      <c r="I828" s="4">
        <v>0</v>
      </c>
    </row>
    <row r="829" spans="1:9" x14ac:dyDescent="0.15">
      <c r="A829" s="2">
        <v>5</v>
      </c>
      <c r="B829" s="1" t="s">
        <v>85</v>
      </c>
      <c r="C829" s="4">
        <v>220</v>
      </c>
      <c r="D829" s="8">
        <v>5.53</v>
      </c>
      <c r="E829" s="4">
        <v>42</v>
      </c>
      <c r="F829" s="8">
        <v>1.93</v>
      </c>
      <c r="G829" s="4">
        <v>178</v>
      </c>
      <c r="H829" s="8">
        <v>9.89</v>
      </c>
      <c r="I829" s="4">
        <v>0</v>
      </c>
    </row>
    <row r="830" spans="1:9" x14ac:dyDescent="0.15">
      <c r="A830" s="2">
        <v>6</v>
      </c>
      <c r="B830" s="1" t="s">
        <v>86</v>
      </c>
      <c r="C830" s="4">
        <v>203</v>
      </c>
      <c r="D830" s="8">
        <v>5.1100000000000003</v>
      </c>
      <c r="E830" s="4">
        <v>56</v>
      </c>
      <c r="F830" s="8">
        <v>2.58</v>
      </c>
      <c r="G830" s="4">
        <v>147</v>
      </c>
      <c r="H830" s="8">
        <v>8.17</v>
      </c>
      <c r="I830" s="4">
        <v>0</v>
      </c>
    </row>
    <row r="831" spans="1:9" x14ac:dyDescent="0.15">
      <c r="A831" s="2">
        <v>6</v>
      </c>
      <c r="B831" s="1" t="s">
        <v>103</v>
      </c>
      <c r="C831" s="4">
        <v>203</v>
      </c>
      <c r="D831" s="8">
        <v>5.1100000000000003</v>
      </c>
      <c r="E831" s="4">
        <v>171</v>
      </c>
      <c r="F831" s="8">
        <v>7.88</v>
      </c>
      <c r="G831" s="4">
        <v>32</v>
      </c>
      <c r="H831" s="8">
        <v>1.78</v>
      </c>
      <c r="I831" s="4">
        <v>0</v>
      </c>
    </row>
    <row r="832" spans="1:9" x14ac:dyDescent="0.15">
      <c r="A832" s="2">
        <v>8</v>
      </c>
      <c r="B832" s="1" t="s">
        <v>102</v>
      </c>
      <c r="C832" s="4">
        <v>184</v>
      </c>
      <c r="D832" s="8">
        <v>4.63</v>
      </c>
      <c r="E832" s="4">
        <v>135</v>
      </c>
      <c r="F832" s="8">
        <v>6.22</v>
      </c>
      <c r="G832" s="4">
        <v>48</v>
      </c>
      <c r="H832" s="8">
        <v>2.67</v>
      </c>
      <c r="I832" s="4">
        <v>1</v>
      </c>
    </row>
    <row r="833" spans="1:9" x14ac:dyDescent="0.15">
      <c r="A833" s="2">
        <v>9</v>
      </c>
      <c r="B833" s="1" t="s">
        <v>92</v>
      </c>
      <c r="C833" s="4">
        <v>171</v>
      </c>
      <c r="D833" s="8">
        <v>4.3</v>
      </c>
      <c r="E833" s="4">
        <v>115</v>
      </c>
      <c r="F833" s="8">
        <v>5.3</v>
      </c>
      <c r="G833" s="4">
        <v>55</v>
      </c>
      <c r="H833" s="8">
        <v>3.06</v>
      </c>
      <c r="I833" s="4">
        <v>1</v>
      </c>
    </row>
    <row r="834" spans="1:9" x14ac:dyDescent="0.15">
      <c r="A834" s="2">
        <v>10</v>
      </c>
      <c r="B834" s="1" t="s">
        <v>87</v>
      </c>
      <c r="C834" s="4">
        <v>131</v>
      </c>
      <c r="D834" s="8">
        <v>3.29</v>
      </c>
      <c r="E834" s="4">
        <v>21</v>
      </c>
      <c r="F834" s="8">
        <v>0.97</v>
      </c>
      <c r="G834" s="4">
        <v>110</v>
      </c>
      <c r="H834" s="8">
        <v>6.11</v>
      </c>
      <c r="I834" s="4">
        <v>0</v>
      </c>
    </row>
    <row r="835" spans="1:9" x14ac:dyDescent="0.15">
      <c r="A835" s="2">
        <v>11</v>
      </c>
      <c r="B835" s="1" t="s">
        <v>91</v>
      </c>
      <c r="C835" s="4">
        <v>117</v>
      </c>
      <c r="D835" s="8">
        <v>2.94</v>
      </c>
      <c r="E835" s="4">
        <v>56</v>
      </c>
      <c r="F835" s="8">
        <v>2.58</v>
      </c>
      <c r="G835" s="4">
        <v>61</v>
      </c>
      <c r="H835" s="8">
        <v>3.39</v>
      </c>
      <c r="I835" s="4">
        <v>0</v>
      </c>
    </row>
    <row r="836" spans="1:9" x14ac:dyDescent="0.15">
      <c r="A836" s="2">
        <v>12</v>
      </c>
      <c r="B836" s="1" t="s">
        <v>93</v>
      </c>
      <c r="C836" s="4">
        <v>100</v>
      </c>
      <c r="D836" s="8">
        <v>2.52</v>
      </c>
      <c r="E836" s="4">
        <v>54</v>
      </c>
      <c r="F836" s="8">
        <v>2.4900000000000002</v>
      </c>
      <c r="G836" s="4">
        <v>46</v>
      </c>
      <c r="H836" s="8">
        <v>2.56</v>
      </c>
      <c r="I836" s="4">
        <v>0</v>
      </c>
    </row>
    <row r="837" spans="1:9" x14ac:dyDescent="0.15">
      <c r="A837" s="2">
        <v>13</v>
      </c>
      <c r="B837" s="1" t="s">
        <v>98</v>
      </c>
      <c r="C837" s="4">
        <v>98</v>
      </c>
      <c r="D837" s="8">
        <v>2.46</v>
      </c>
      <c r="E837" s="4">
        <v>27</v>
      </c>
      <c r="F837" s="8">
        <v>1.24</v>
      </c>
      <c r="G837" s="4">
        <v>71</v>
      </c>
      <c r="H837" s="8">
        <v>3.95</v>
      </c>
      <c r="I837" s="4">
        <v>0</v>
      </c>
    </row>
    <row r="838" spans="1:9" x14ac:dyDescent="0.15">
      <c r="A838" s="2">
        <v>14</v>
      </c>
      <c r="B838" s="1" t="s">
        <v>97</v>
      </c>
      <c r="C838" s="4">
        <v>92</v>
      </c>
      <c r="D838" s="8">
        <v>2.31</v>
      </c>
      <c r="E838" s="4">
        <v>57</v>
      </c>
      <c r="F838" s="8">
        <v>2.63</v>
      </c>
      <c r="G838" s="4">
        <v>35</v>
      </c>
      <c r="H838" s="8">
        <v>1.95</v>
      </c>
      <c r="I838" s="4">
        <v>0</v>
      </c>
    </row>
    <row r="839" spans="1:9" x14ac:dyDescent="0.15">
      <c r="A839" s="2">
        <v>15</v>
      </c>
      <c r="B839" s="1" t="s">
        <v>95</v>
      </c>
      <c r="C839" s="4">
        <v>56</v>
      </c>
      <c r="D839" s="8">
        <v>1.41</v>
      </c>
      <c r="E839" s="4">
        <v>4</v>
      </c>
      <c r="F839" s="8">
        <v>0.18</v>
      </c>
      <c r="G839" s="4">
        <v>52</v>
      </c>
      <c r="H839" s="8">
        <v>2.89</v>
      </c>
      <c r="I839" s="4">
        <v>0</v>
      </c>
    </row>
    <row r="840" spans="1:9" x14ac:dyDescent="0.15">
      <c r="A840" s="2">
        <v>16</v>
      </c>
      <c r="B840" s="1" t="s">
        <v>101</v>
      </c>
      <c r="C840" s="4">
        <v>55</v>
      </c>
      <c r="D840" s="8">
        <v>1.38</v>
      </c>
      <c r="E840" s="4">
        <v>35</v>
      </c>
      <c r="F840" s="8">
        <v>1.61</v>
      </c>
      <c r="G840" s="4">
        <v>20</v>
      </c>
      <c r="H840" s="8">
        <v>1.1100000000000001</v>
      </c>
      <c r="I840" s="4">
        <v>0</v>
      </c>
    </row>
    <row r="841" spans="1:9" x14ac:dyDescent="0.15">
      <c r="A841" s="2">
        <v>17</v>
      </c>
      <c r="B841" s="1" t="s">
        <v>108</v>
      </c>
      <c r="C841" s="4">
        <v>45</v>
      </c>
      <c r="D841" s="8">
        <v>1.1299999999999999</v>
      </c>
      <c r="E841" s="4">
        <v>1</v>
      </c>
      <c r="F841" s="8">
        <v>0.05</v>
      </c>
      <c r="G841" s="4">
        <v>42</v>
      </c>
      <c r="H841" s="8">
        <v>2.33</v>
      </c>
      <c r="I841" s="4">
        <v>2</v>
      </c>
    </row>
    <row r="842" spans="1:9" x14ac:dyDescent="0.15">
      <c r="A842" s="2">
        <v>18</v>
      </c>
      <c r="B842" s="1" t="s">
        <v>90</v>
      </c>
      <c r="C842" s="4">
        <v>34</v>
      </c>
      <c r="D842" s="8">
        <v>0.86</v>
      </c>
      <c r="E842" s="4">
        <v>4</v>
      </c>
      <c r="F842" s="8">
        <v>0.18</v>
      </c>
      <c r="G842" s="4">
        <v>30</v>
      </c>
      <c r="H842" s="8">
        <v>1.67</v>
      </c>
      <c r="I842" s="4">
        <v>0</v>
      </c>
    </row>
    <row r="843" spans="1:9" x14ac:dyDescent="0.15">
      <c r="A843" s="2">
        <v>18</v>
      </c>
      <c r="B843" s="1" t="s">
        <v>116</v>
      </c>
      <c r="C843" s="4">
        <v>34</v>
      </c>
      <c r="D843" s="8">
        <v>0.86</v>
      </c>
      <c r="E843" s="4">
        <v>13</v>
      </c>
      <c r="F843" s="8">
        <v>0.6</v>
      </c>
      <c r="G843" s="4">
        <v>21</v>
      </c>
      <c r="H843" s="8">
        <v>1.17</v>
      </c>
      <c r="I843" s="4">
        <v>0</v>
      </c>
    </row>
    <row r="844" spans="1:9" x14ac:dyDescent="0.15">
      <c r="A844" s="2">
        <v>20</v>
      </c>
      <c r="B844" s="1" t="s">
        <v>105</v>
      </c>
      <c r="C844" s="4">
        <v>33</v>
      </c>
      <c r="D844" s="8">
        <v>0.83</v>
      </c>
      <c r="E844" s="4">
        <v>7</v>
      </c>
      <c r="F844" s="8">
        <v>0.32</v>
      </c>
      <c r="G844" s="4">
        <v>26</v>
      </c>
      <c r="H844" s="8">
        <v>1.45</v>
      </c>
      <c r="I844" s="4">
        <v>0</v>
      </c>
    </row>
    <row r="845" spans="1:9" x14ac:dyDescent="0.15">
      <c r="A845" s="1"/>
      <c r="C845" s="4"/>
      <c r="D845" s="8"/>
      <c r="E845" s="4"/>
      <c r="F845" s="8"/>
      <c r="G845" s="4"/>
      <c r="H845" s="8"/>
      <c r="I845" s="4"/>
    </row>
    <row r="846" spans="1:9" x14ac:dyDescent="0.15">
      <c r="A846" s="1" t="s">
        <v>38</v>
      </c>
      <c r="C846" s="4"/>
      <c r="D846" s="8"/>
      <c r="E846" s="4"/>
      <c r="F846" s="8"/>
      <c r="G846" s="4"/>
      <c r="H846" s="8"/>
      <c r="I846" s="4"/>
    </row>
    <row r="847" spans="1:9" x14ac:dyDescent="0.15">
      <c r="A847" s="2">
        <v>1</v>
      </c>
      <c r="B847" s="1" t="s">
        <v>96</v>
      </c>
      <c r="C847" s="4">
        <v>140</v>
      </c>
      <c r="D847" s="8">
        <v>12.35</v>
      </c>
      <c r="E847" s="4">
        <v>85</v>
      </c>
      <c r="F847" s="8">
        <v>13.71</v>
      </c>
      <c r="G847" s="4">
        <v>54</v>
      </c>
      <c r="H847" s="8">
        <v>10.55</v>
      </c>
      <c r="I847" s="4">
        <v>1</v>
      </c>
    </row>
    <row r="848" spans="1:9" x14ac:dyDescent="0.15">
      <c r="A848" s="2">
        <v>2</v>
      </c>
      <c r="B848" s="1" t="s">
        <v>100</v>
      </c>
      <c r="C848" s="4">
        <v>128</v>
      </c>
      <c r="D848" s="8">
        <v>11.29</v>
      </c>
      <c r="E848" s="4">
        <v>100</v>
      </c>
      <c r="F848" s="8">
        <v>16.13</v>
      </c>
      <c r="G848" s="4">
        <v>28</v>
      </c>
      <c r="H848" s="8">
        <v>5.47</v>
      </c>
      <c r="I848" s="4">
        <v>0</v>
      </c>
    </row>
    <row r="849" spans="1:9" x14ac:dyDescent="0.15">
      <c r="A849" s="2">
        <v>3</v>
      </c>
      <c r="B849" s="1" t="s">
        <v>99</v>
      </c>
      <c r="C849" s="4">
        <v>118</v>
      </c>
      <c r="D849" s="8">
        <v>10.41</v>
      </c>
      <c r="E849" s="4">
        <v>95</v>
      </c>
      <c r="F849" s="8">
        <v>15.32</v>
      </c>
      <c r="G849" s="4">
        <v>22</v>
      </c>
      <c r="H849" s="8">
        <v>4.3</v>
      </c>
      <c r="I849" s="4">
        <v>1</v>
      </c>
    </row>
    <row r="850" spans="1:9" x14ac:dyDescent="0.15">
      <c r="A850" s="2">
        <v>4</v>
      </c>
      <c r="B850" s="1" t="s">
        <v>94</v>
      </c>
      <c r="C850" s="4">
        <v>100</v>
      </c>
      <c r="D850" s="8">
        <v>8.82</v>
      </c>
      <c r="E850" s="4">
        <v>49</v>
      </c>
      <c r="F850" s="8">
        <v>7.9</v>
      </c>
      <c r="G850" s="4">
        <v>51</v>
      </c>
      <c r="H850" s="8">
        <v>9.9600000000000009</v>
      </c>
      <c r="I850" s="4">
        <v>0</v>
      </c>
    </row>
    <row r="851" spans="1:9" x14ac:dyDescent="0.15">
      <c r="A851" s="2">
        <v>5</v>
      </c>
      <c r="B851" s="1" t="s">
        <v>92</v>
      </c>
      <c r="C851" s="4">
        <v>67</v>
      </c>
      <c r="D851" s="8">
        <v>5.91</v>
      </c>
      <c r="E851" s="4">
        <v>37</v>
      </c>
      <c r="F851" s="8">
        <v>5.97</v>
      </c>
      <c r="G851" s="4">
        <v>30</v>
      </c>
      <c r="H851" s="8">
        <v>5.86</v>
      </c>
      <c r="I851" s="4">
        <v>0</v>
      </c>
    </row>
    <row r="852" spans="1:9" x14ac:dyDescent="0.15">
      <c r="A852" s="2">
        <v>6</v>
      </c>
      <c r="B852" s="1" t="s">
        <v>103</v>
      </c>
      <c r="C852" s="4">
        <v>62</v>
      </c>
      <c r="D852" s="8">
        <v>5.47</v>
      </c>
      <c r="E852" s="4">
        <v>53</v>
      </c>
      <c r="F852" s="8">
        <v>8.5500000000000007</v>
      </c>
      <c r="G852" s="4">
        <v>9</v>
      </c>
      <c r="H852" s="8">
        <v>1.76</v>
      </c>
      <c r="I852" s="4">
        <v>0</v>
      </c>
    </row>
    <row r="853" spans="1:9" x14ac:dyDescent="0.15">
      <c r="A853" s="2">
        <v>7</v>
      </c>
      <c r="B853" s="1" t="s">
        <v>102</v>
      </c>
      <c r="C853" s="4">
        <v>55</v>
      </c>
      <c r="D853" s="8">
        <v>4.8499999999999996</v>
      </c>
      <c r="E853" s="4">
        <v>49</v>
      </c>
      <c r="F853" s="8">
        <v>7.9</v>
      </c>
      <c r="G853" s="4">
        <v>6</v>
      </c>
      <c r="H853" s="8">
        <v>1.17</v>
      </c>
      <c r="I853" s="4">
        <v>0</v>
      </c>
    </row>
    <row r="854" spans="1:9" x14ac:dyDescent="0.15">
      <c r="A854" s="2">
        <v>8</v>
      </c>
      <c r="B854" s="1" t="s">
        <v>85</v>
      </c>
      <c r="C854" s="4">
        <v>53</v>
      </c>
      <c r="D854" s="8">
        <v>4.67</v>
      </c>
      <c r="E854" s="4">
        <v>15</v>
      </c>
      <c r="F854" s="8">
        <v>2.42</v>
      </c>
      <c r="G854" s="4">
        <v>38</v>
      </c>
      <c r="H854" s="8">
        <v>7.42</v>
      </c>
      <c r="I854" s="4">
        <v>0</v>
      </c>
    </row>
    <row r="855" spans="1:9" x14ac:dyDescent="0.15">
      <c r="A855" s="2">
        <v>9</v>
      </c>
      <c r="B855" s="1" t="s">
        <v>97</v>
      </c>
      <c r="C855" s="4">
        <v>44</v>
      </c>
      <c r="D855" s="8">
        <v>3.88</v>
      </c>
      <c r="E855" s="4">
        <v>14</v>
      </c>
      <c r="F855" s="8">
        <v>2.2599999999999998</v>
      </c>
      <c r="G855" s="4">
        <v>30</v>
      </c>
      <c r="H855" s="8">
        <v>5.86</v>
      </c>
      <c r="I855" s="4">
        <v>0</v>
      </c>
    </row>
    <row r="856" spans="1:9" x14ac:dyDescent="0.15">
      <c r="A856" s="2">
        <v>10</v>
      </c>
      <c r="B856" s="1" t="s">
        <v>91</v>
      </c>
      <c r="C856" s="4">
        <v>43</v>
      </c>
      <c r="D856" s="8">
        <v>3.79</v>
      </c>
      <c r="E856" s="4">
        <v>28</v>
      </c>
      <c r="F856" s="8">
        <v>4.5199999999999996</v>
      </c>
      <c r="G856" s="4">
        <v>15</v>
      </c>
      <c r="H856" s="8">
        <v>2.93</v>
      </c>
      <c r="I856" s="4">
        <v>0</v>
      </c>
    </row>
    <row r="857" spans="1:9" x14ac:dyDescent="0.15">
      <c r="A857" s="2">
        <v>11</v>
      </c>
      <c r="B857" s="1" t="s">
        <v>86</v>
      </c>
      <c r="C857" s="4">
        <v>42</v>
      </c>
      <c r="D857" s="8">
        <v>3.7</v>
      </c>
      <c r="E857" s="4">
        <v>15</v>
      </c>
      <c r="F857" s="8">
        <v>2.42</v>
      </c>
      <c r="G857" s="4">
        <v>27</v>
      </c>
      <c r="H857" s="8">
        <v>5.27</v>
      </c>
      <c r="I857" s="4">
        <v>0</v>
      </c>
    </row>
    <row r="858" spans="1:9" x14ac:dyDescent="0.15">
      <c r="A858" s="2">
        <v>12</v>
      </c>
      <c r="B858" s="1" t="s">
        <v>98</v>
      </c>
      <c r="C858" s="4">
        <v>31</v>
      </c>
      <c r="D858" s="8">
        <v>2.73</v>
      </c>
      <c r="E858" s="4">
        <v>13</v>
      </c>
      <c r="F858" s="8">
        <v>2.1</v>
      </c>
      <c r="G858" s="4">
        <v>18</v>
      </c>
      <c r="H858" s="8">
        <v>3.52</v>
      </c>
      <c r="I858" s="4">
        <v>0</v>
      </c>
    </row>
    <row r="859" spans="1:9" x14ac:dyDescent="0.15">
      <c r="A859" s="2">
        <v>13</v>
      </c>
      <c r="B859" s="1" t="s">
        <v>87</v>
      </c>
      <c r="C859" s="4">
        <v>25</v>
      </c>
      <c r="D859" s="8">
        <v>2.2000000000000002</v>
      </c>
      <c r="E859" s="4">
        <v>4</v>
      </c>
      <c r="F859" s="8">
        <v>0.65</v>
      </c>
      <c r="G859" s="4">
        <v>21</v>
      </c>
      <c r="H859" s="8">
        <v>4.0999999999999996</v>
      </c>
      <c r="I859" s="4">
        <v>0</v>
      </c>
    </row>
    <row r="860" spans="1:9" x14ac:dyDescent="0.15">
      <c r="A860" s="2">
        <v>14</v>
      </c>
      <c r="B860" s="1" t="s">
        <v>95</v>
      </c>
      <c r="C860" s="4">
        <v>20</v>
      </c>
      <c r="D860" s="8">
        <v>1.76</v>
      </c>
      <c r="E860" s="4">
        <v>1</v>
      </c>
      <c r="F860" s="8">
        <v>0.16</v>
      </c>
      <c r="G860" s="4">
        <v>19</v>
      </c>
      <c r="H860" s="8">
        <v>3.71</v>
      </c>
      <c r="I860" s="4">
        <v>0</v>
      </c>
    </row>
    <row r="861" spans="1:9" x14ac:dyDescent="0.15">
      <c r="A861" s="2">
        <v>15</v>
      </c>
      <c r="B861" s="1" t="s">
        <v>108</v>
      </c>
      <c r="C861" s="4">
        <v>18</v>
      </c>
      <c r="D861" s="8">
        <v>1.59</v>
      </c>
      <c r="E861" s="4">
        <v>0</v>
      </c>
      <c r="F861" s="8">
        <v>0</v>
      </c>
      <c r="G861" s="4">
        <v>18</v>
      </c>
      <c r="H861" s="8">
        <v>3.52</v>
      </c>
      <c r="I861" s="4">
        <v>0</v>
      </c>
    </row>
    <row r="862" spans="1:9" x14ac:dyDescent="0.15">
      <c r="A862" s="2">
        <v>16</v>
      </c>
      <c r="B862" s="1" t="s">
        <v>93</v>
      </c>
      <c r="C862" s="4">
        <v>17</v>
      </c>
      <c r="D862" s="8">
        <v>1.5</v>
      </c>
      <c r="E862" s="4">
        <v>7</v>
      </c>
      <c r="F862" s="8">
        <v>1.1299999999999999</v>
      </c>
      <c r="G862" s="4">
        <v>10</v>
      </c>
      <c r="H862" s="8">
        <v>1.95</v>
      </c>
      <c r="I862" s="4">
        <v>0</v>
      </c>
    </row>
    <row r="863" spans="1:9" x14ac:dyDescent="0.15">
      <c r="A863" s="2">
        <v>17</v>
      </c>
      <c r="B863" s="1" t="s">
        <v>101</v>
      </c>
      <c r="C863" s="4">
        <v>16</v>
      </c>
      <c r="D863" s="8">
        <v>1.41</v>
      </c>
      <c r="E863" s="4">
        <v>8</v>
      </c>
      <c r="F863" s="8">
        <v>1.29</v>
      </c>
      <c r="G863" s="4">
        <v>8</v>
      </c>
      <c r="H863" s="8">
        <v>1.56</v>
      </c>
      <c r="I863" s="4">
        <v>0</v>
      </c>
    </row>
    <row r="864" spans="1:9" x14ac:dyDescent="0.15">
      <c r="A864" s="2">
        <v>18</v>
      </c>
      <c r="B864" s="1" t="s">
        <v>105</v>
      </c>
      <c r="C864" s="4">
        <v>14</v>
      </c>
      <c r="D864" s="8">
        <v>1.23</v>
      </c>
      <c r="E864" s="4">
        <v>7</v>
      </c>
      <c r="F864" s="8">
        <v>1.1299999999999999</v>
      </c>
      <c r="G864" s="4">
        <v>7</v>
      </c>
      <c r="H864" s="8">
        <v>1.37</v>
      </c>
      <c r="I864" s="4">
        <v>0</v>
      </c>
    </row>
    <row r="865" spans="1:9" x14ac:dyDescent="0.15">
      <c r="A865" s="2">
        <v>19</v>
      </c>
      <c r="B865" s="1" t="s">
        <v>118</v>
      </c>
      <c r="C865" s="4">
        <v>13</v>
      </c>
      <c r="D865" s="8">
        <v>1.1499999999999999</v>
      </c>
      <c r="E865" s="4">
        <v>6</v>
      </c>
      <c r="F865" s="8">
        <v>0.97</v>
      </c>
      <c r="G865" s="4">
        <v>7</v>
      </c>
      <c r="H865" s="8">
        <v>1.37</v>
      </c>
      <c r="I865" s="4">
        <v>0</v>
      </c>
    </row>
    <row r="866" spans="1:9" x14ac:dyDescent="0.15">
      <c r="A866" s="2">
        <v>19</v>
      </c>
      <c r="B866" s="1" t="s">
        <v>104</v>
      </c>
      <c r="C866" s="4">
        <v>13</v>
      </c>
      <c r="D866" s="8">
        <v>1.1499999999999999</v>
      </c>
      <c r="E866" s="4">
        <v>2</v>
      </c>
      <c r="F866" s="8">
        <v>0.32</v>
      </c>
      <c r="G866" s="4">
        <v>11</v>
      </c>
      <c r="H866" s="8">
        <v>2.15</v>
      </c>
      <c r="I866" s="4">
        <v>0</v>
      </c>
    </row>
    <row r="867" spans="1:9" x14ac:dyDescent="0.15">
      <c r="A867" s="1"/>
      <c r="C867" s="4"/>
      <c r="D867" s="8"/>
      <c r="E867" s="4"/>
      <c r="F867" s="8"/>
      <c r="G867" s="4"/>
      <c r="H867" s="8"/>
      <c r="I867" s="4"/>
    </row>
    <row r="868" spans="1:9" x14ac:dyDescent="0.15">
      <c r="A868" s="1" t="s">
        <v>39</v>
      </c>
      <c r="C868" s="4"/>
      <c r="D868" s="8"/>
      <c r="E868" s="4"/>
      <c r="F868" s="8"/>
      <c r="G868" s="4"/>
      <c r="H868" s="8"/>
      <c r="I868" s="4"/>
    </row>
    <row r="869" spans="1:9" x14ac:dyDescent="0.15">
      <c r="A869" s="2">
        <v>1</v>
      </c>
      <c r="B869" s="1" t="s">
        <v>99</v>
      </c>
      <c r="C869" s="4">
        <v>178</v>
      </c>
      <c r="D869" s="8">
        <v>15.45</v>
      </c>
      <c r="E869" s="4">
        <v>159</v>
      </c>
      <c r="F869" s="8">
        <v>23.35</v>
      </c>
      <c r="G869" s="4">
        <v>19</v>
      </c>
      <c r="H869" s="8">
        <v>4.04</v>
      </c>
      <c r="I869" s="4">
        <v>0</v>
      </c>
    </row>
    <row r="870" spans="1:9" x14ac:dyDescent="0.15">
      <c r="A870" s="2">
        <v>2</v>
      </c>
      <c r="B870" s="1" t="s">
        <v>100</v>
      </c>
      <c r="C870" s="4">
        <v>124</v>
      </c>
      <c r="D870" s="8">
        <v>10.76</v>
      </c>
      <c r="E870" s="4">
        <v>106</v>
      </c>
      <c r="F870" s="8">
        <v>15.57</v>
      </c>
      <c r="G870" s="4">
        <v>18</v>
      </c>
      <c r="H870" s="8">
        <v>3.83</v>
      </c>
      <c r="I870" s="4">
        <v>0</v>
      </c>
    </row>
    <row r="871" spans="1:9" x14ac:dyDescent="0.15">
      <c r="A871" s="2">
        <v>3</v>
      </c>
      <c r="B871" s="1" t="s">
        <v>85</v>
      </c>
      <c r="C871" s="4">
        <v>95</v>
      </c>
      <c r="D871" s="8">
        <v>8.25</v>
      </c>
      <c r="E871" s="4">
        <v>42</v>
      </c>
      <c r="F871" s="8">
        <v>6.17</v>
      </c>
      <c r="G871" s="4">
        <v>53</v>
      </c>
      <c r="H871" s="8">
        <v>11.28</v>
      </c>
      <c r="I871" s="4">
        <v>0</v>
      </c>
    </row>
    <row r="872" spans="1:9" x14ac:dyDescent="0.15">
      <c r="A872" s="2">
        <v>4</v>
      </c>
      <c r="B872" s="1" t="s">
        <v>94</v>
      </c>
      <c r="C872" s="4">
        <v>88</v>
      </c>
      <c r="D872" s="8">
        <v>7.64</v>
      </c>
      <c r="E872" s="4">
        <v>45</v>
      </c>
      <c r="F872" s="8">
        <v>6.61</v>
      </c>
      <c r="G872" s="4">
        <v>43</v>
      </c>
      <c r="H872" s="8">
        <v>9.15</v>
      </c>
      <c r="I872" s="4">
        <v>0</v>
      </c>
    </row>
    <row r="873" spans="1:9" x14ac:dyDescent="0.15">
      <c r="A873" s="2">
        <v>5</v>
      </c>
      <c r="B873" s="1" t="s">
        <v>92</v>
      </c>
      <c r="C873" s="4">
        <v>84</v>
      </c>
      <c r="D873" s="8">
        <v>7.29</v>
      </c>
      <c r="E873" s="4">
        <v>45</v>
      </c>
      <c r="F873" s="8">
        <v>6.61</v>
      </c>
      <c r="G873" s="4">
        <v>39</v>
      </c>
      <c r="H873" s="8">
        <v>8.3000000000000007</v>
      </c>
      <c r="I873" s="4">
        <v>0</v>
      </c>
    </row>
    <row r="874" spans="1:9" x14ac:dyDescent="0.15">
      <c r="A874" s="2">
        <v>6</v>
      </c>
      <c r="B874" s="1" t="s">
        <v>96</v>
      </c>
      <c r="C874" s="4">
        <v>80</v>
      </c>
      <c r="D874" s="8">
        <v>6.94</v>
      </c>
      <c r="E874" s="4">
        <v>48</v>
      </c>
      <c r="F874" s="8">
        <v>7.05</v>
      </c>
      <c r="G874" s="4">
        <v>32</v>
      </c>
      <c r="H874" s="8">
        <v>6.81</v>
      </c>
      <c r="I874" s="4">
        <v>0</v>
      </c>
    </row>
    <row r="875" spans="1:9" x14ac:dyDescent="0.15">
      <c r="A875" s="2">
        <v>7</v>
      </c>
      <c r="B875" s="1" t="s">
        <v>86</v>
      </c>
      <c r="C875" s="4">
        <v>51</v>
      </c>
      <c r="D875" s="8">
        <v>4.43</v>
      </c>
      <c r="E875" s="4">
        <v>31</v>
      </c>
      <c r="F875" s="8">
        <v>4.55</v>
      </c>
      <c r="G875" s="4">
        <v>20</v>
      </c>
      <c r="H875" s="8">
        <v>4.26</v>
      </c>
      <c r="I875" s="4">
        <v>0</v>
      </c>
    </row>
    <row r="876" spans="1:9" x14ac:dyDescent="0.15">
      <c r="A876" s="2">
        <v>8</v>
      </c>
      <c r="B876" s="1" t="s">
        <v>107</v>
      </c>
      <c r="C876" s="4">
        <v>44</v>
      </c>
      <c r="D876" s="8">
        <v>3.82</v>
      </c>
      <c r="E876" s="4">
        <v>8</v>
      </c>
      <c r="F876" s="8">
        <v>1.17</v>
      </c>
      <c r="G876" s="4">
        <v>36</v>
      </c>
      <c r="H876" s="8">
        <v>7.66</v>
      </c>
      <c r="I876" s="4">
        <v>0</v>
      </c>
    </row>
    <row r="877" spans="1:9" x14ac:dyDescent="0.15">
      <c r="A877" s="2">
        <v>9</v>
      </c>
      <c r="B877" s="1" t="s">
        <v>103</v>
      </c>
      <c r="C877" s="4">
        <v>36</v>
      </c>
      <c r="D877" s="8">
        <v>3.13</v>
      </c>
      <c r="E877" s="4">
        <v>27</v>
      </c>
      <c r="F877" s="8">
        <v>3.96</v>
      </c>
      <c r="G877" s="4">
        <v>9</v>
      </c>
      <c r="H877" s="8">
        <v>1.91</v>
      </c>
      <c r="I877" s="4">
        <v>0</v>
      </c>
    </row>
    <row r="878" spans="1:9" x14ac:dyDescent="0.15">
      <c r="A878" s="2">
        <v>10</v>
      </c>
      <c r="B878" s="1" t="s">
        <v>116</v>
      </c>
      <c r="C878" s="4">
        <v>33</v>
      </c>
      <c r="D878" s="8">
        <v>2.86</v>
      </c>
      <c r="E878" s="4">
        <v>28</v>
      </c>
      <c r="F878" s="8">
        <v>4.1100000000000003</v>
      </c>
      <c r="G878" s="4">
        <v>5</v>
      </c>
      <c r="H878" s="8">
        <v>1.06</v>
      </c>
      <c r="I878" s="4">
        <v>0</v>
      </c>
    </row>
    <row r="879" spans="1:9" x14ac:dyDescent="0.15">
      <c r="A879" s="2">
        <v>11</v>
      </c>
      <c r="B879" s="1" t="s">
        <v>93</v>
      </c>
      <c r="C879" s="4">
        <v>32</v>
      </c>
      <c r="D879" s="8">
        <v>2.78</v>
      </c>
      <c r="E879" s="4">
        <v>9</v>
      </c>
      <c r="F879" s="8">
        <v>1.32</v>
      </c>
      <c r="G879" s="4">
        <v>23</v>
      </c>
      <c r="H879" s="8">
        <v>4.8899999999999997</v>
      </c>
      <c r="I879" s="4">
        <v>0</v>
      </c>
    </row>
    <row r="880" spans="1:9" x14ac:dyDescent="0.15">
      <c r="A880" s="2">
        <v>12</v>
      </c>
      <c r="B880" s="1" t="s">
        <v>111</v>
      </c>
      <c r="C880" s="4">
        <v>29</v>
      </c>
      <c r="D880" s="8">
        <v>2.52</v>
      </c>
      <c r="E880" s="4">
        <v>21</v>
      </c>
      <c r="F880" s="8">
        <v>3.08</v>
      </c>
      <c r="G880" s="4">
        <v>8</v>
      </c>
      <c r="H880" s="8">
        <v>1.7</v>
      </c>
      <c r="I880" s="4">
        <v>0</v>
      </c>
    </row>
    <row r="881" spans="1:9" x14ac:dyDescent="0.15">
      <c r="A881" s="2">
        <v>12</v>
      </c>
      <c r="B881" s="1" t="s">
        <v>102</v>
      </c>
      <c r="C881" s="4">
        <v>29</v>
      </c>
      <c r="D881" s="8">
        <v>2.52</v>
      </c>
      <c r="E881" s="4">
        <v>23</v>
      </c>
      <c r="F881" s="8">
        <v>3.38</v>
      </c>
      <c r="G881" s="4">
        <v>6</v>
      </c>
      <c r="H881" s="8">
        <v>1.28</v>
      </c>
      <c r="I881" s="4">
        <v>0</v>
      </c>
    </row>
    <row r="882" spans="1:9" x14ac:dyDescent="0.15">
      <c r="A882" s="2">
        <v>14</v>
      </c>
      <c r="B882" s="1" t="s">
        <v>87</v>
      </c>
      <c r="C882" s="4">
        <v>26</v>
      </c>
      <c r="D882" s="8">
        <v>2.2599999999999998</v>
      </c>
      <c r="E882" s="4">
        <v>7</v>
      </c>
      <c r="F882" s="8">
        <v>1.03</v>
      </c>
      <c r="G882" s="4">
        <v>19</v>
      </c>
      <c r="H882" s="8">
        <v>4.04</v>
      </c>
      <c r="I882" s="4">
        <v>0</v>
      </c>
    </row>
    <row r="883" spans="1:9" x14ac:dyDescent="0.15">
      <c r="A883" s="2">
        <v>15</v>
      </c>
      <c r="B883" s="1" t="s">
        <v>91</v>
      </c>
      <c r="C883" s="4">
        <v>25</v>
      </c>
      <c r="D883" s="8">
        <v>2.17</v>
      </c>
      <c r="E883" s="4">
        <v>14</v>
      </c>
      <c r="F883" s="8">
        <v>2.06</v>
      </c>
      <c r="G883" s="4">
        <v>11</v>
      </c>
      <c r="H883" s="8">
        <v>2.34</v>
      </c>
      <c r="I883" s="4">
        <v>0</v>
      </c>
    </row>
    <row r="884" spans="1:9" x14ac:dyDescent="0.15">
      <c r="A884" s="2">
        <v>16</v>
      </c>
      <c r="B884" s="1" t="s">
        <v>121</v>
      </c>
      <c r="C884" s="4">
        <v>19</v>
      </c>
      <c r="D884" s="8">
        <v>1.65</v>
      </c>
      <c r="E884" s="4">
        <v>2</v>
      </c>
      <c r="F884" s="8">
        <v>0.28999999999999998</v>
      </c>
      <c r="G884" s="4">
        <v>17</v>
      </c>
      <c r="H884" s="8">
        <v>3.62</v>
      </c>
      <c r="I884" s="4">
        <v>0</v>
      </c>
    </row>
    <row r="885" spans="1:9" x14ac:dyDescent="0.15">
      <c r="A885" s="2">
        <v>17</v>
      </c>
      <c r="B885" s="1" t="s">
        <v>120</v>
      </c>
      <c r="C885" s="4">
        <v>17</v>
      </c>
      <c r="D885" s="8">
        <v>1.48</v>
      </c>
      <c r="E885" s="4">
        <v>5</v>
      </c>
      <c r="F885" s="8">
        <v>0.73</v>
      </c>
      <c r="G885" s="4">
        <v>12</v>
      </c>
      <c r="H885" s="8">
        <v>2.5499999999999998</v>
      </c>
      <c r="I885" s="4">
        <v>0</v>
      </c>
    </row>
    <row r="886" spans="1:9" x14ac:dyDescent="0.15">
      <c r="A886" s="2">
        <v>18</v>
      </c>
      <c r="B886" s="1" t="s">
        <v>98</v>
      </c>
      <c r="C886" s="4">
        <v>15</v>
      </c>
      <c r="D886" s="8">
        <v>1.3</v>
      </c>
      <c r="E886" s="4">
        <v>7</v>
      </c>
      <c r="F886" s="8">
        <v>1.03</v>
      </c>
      <c r="G886" s="4">
        <v>8</v>
      </c>
      <c r="H886" s="8">
        <v>1.7</v>
      </c>
      <c r="I886" s="4">
        <v>0</v>
      </c>
    </row>
    <row r="887" spans="1:9" x14ac:dyDescent="0.15">
      <c r="A887" s="2">
        <v>19</v>
      </c>
      <c r="B887" s="1" t="s">
        <v>101</v>
      </c>
      <c r="C887" s="4">
        <v>13</v>
      </c>
      <c r="D887" s="8">
        <v>1.1299999999999999</v>
      </c>
      <c r="E887" s="4">
        <v>4</v>
      </c>
      <c r="F887" s="8">
        <v>0.59</v>
      </c>
      <c r="G887" s="4">
        <v>9</v>
      </c>
      <c r="H887" s="8">
        <v>1.91</v>
      </c>
      <c r="I887" s="4">
        <v>0</v>
      </c>
    </row>
    <row r="888" spans="1:9" x14ac:dyDescent="0.15">
      <c r="A888" s="2">
        <v>20</v>
      </c>
      <c r="B888" s="1" t="s">
        <v>97</v>
      </c>
      <c r="C888" s="4">
        <v>11</v>
      </c>
      <c r="D888" s="8">
        <v>0.95</v>
      </c>
      <c r="E888" s="4">
        <v>8</v>
      </c>
      <c r="F888" s="8">
        <v>1.17</v>
      </c>
      <c r="G888" s="4">
        <v>3</v>
      </c>
      <c r="H888" s="8">
        <v>0.64</v>
      </c>
      <c r="I888" s="4">
        <v>0</v>
      </c>
    </row>
    <row r="889" spans="1:9" x14ac:dyDescent="0.15">
      <c r="A889" s="1"/>
      <c r="C889" s="4"/>
      <c r="D889" s="8"/>
      <c r="E889" s="4"/>
      <c r="F889" s="8"/>
      <c r="G889" s="4"/>
      <c r="H889" s="8"/>
      <c r="I889" s="4"/>
    </row>
    <row r="890" spans="1:9" x14ac:dyDescent="0.15">
      <c r="A890" s="1" t="s">
        <v>40</v>
      </c>
      <c r="C890" s="4"/>
      <c r="D890" s="8"/>
      <c r="E890" s="4"/>
      <c r="F890" s="8"/>
      <c r="G890" s="4"/>
      <c r="H890" s="8"/>
      <c r="I890" s="4"/>
    </row>
    <row r="891" spans="1:9" x14ac:dyDescent="0.15">
      <c r="A891" s="2">
        <v>1</v>
      </c>
      <c r="B891" s="1" t="s">
        <v>100</v>
      </c>
      <c r="C891" s="4">
        <v>303</v>
      </c>
      <c r="D891" s="8">
        <v>11.03</v>
      </c>
      <c r="E891" s="4">
        <v>239</v>
      </c>
      <c r="F891" s="8">
        <v>17.16</v>
      </c>
      <c r="G891" s="4">
        <v>64</v>
      </c>
      <c r="H891" s="8">
        <v>4.74</v>
      </c>
      <c r="I891" s="4">
        <v>0</v>
      </c>
    </row>
    <row r="892" spans="1:9" x14ac:dyDescent="0.15">
      <c r="A892" s="2">
        <v>2</v>
      </c>
      <c r="B892" s="1" t="s">
        <v>99</v>
      </c>
      <c r="C892" s="4">
        <v>285</v>
      </c>
      <c r="D892" s="8">
        <v>10.38</v>
      </c>
      <c r="E892" s="4">
        <v>247</v>
      </c>
      <c r="F892" s="8">
        <v>17.73</v>
      </c>
      <c r="G892" s="4">
        <v>38</v>
      </c>
      <c r="H892" s="8">
        <v>2.81</v>
      </c>
      <c r="I892" s="4">
        <v>0</v>
      </c>
    </row>
    <row r="893" spans="1:9" x14ac:dyDescent="0.15">
      <c r="A893" s="2">
        <v>3</v>
      </c>
      <c r="B893" s="1" t="s">
        <v>96</v>
      </c>
      <c r="C893" s="4">
        <v>267</v>
      </c>
      <c r="D893" s="8">
        <v>9.7200000000000006</v>
      </c>
      <c r="E893" s="4">
        <v>153</v>
      </c>
      <c r="F893" s="8">
        <v>10.98</v>
      </c>
      <c r="G893" s="4">
        <v>114</v>
      </c>
      <c r="H893" s="8">
        <v>8.44</v>
      </c>
      <c r="I893" s="4">
        <v>0</v>
      </c>
    </row>
    <row r="894" spans="1:9" x14ac:dyDescent="0.15">
      <c r="A894" s="2">
        <v>4</v>
      </c>
      <c r="B894" s="1" t="s">
        <v>85</v>
      </c>
      <c r="C894" s="4">
        <v>177</v>
      </c>
      <c r="D894" s="8">
        <v>6.45</v>
      </c>
      <c r="E894" s="4">
        <v>33</v>
      </c>
      <c r="F894" s="8">
        <v>2.37</v>
      </c>
      <c r="G894" s="4">
        <v>144</v>
      </c>
      <c r="H894" s="8">
        <v>10.67</v>
      </c>
      <c r="I894" s="4">
        <v>0</v>
      </c>
    </row>
    <row r="895" spans="1:9" x14ac:dyDescent="0.15">
      <c r="A895" s="2">
        <v>5</v>
      </c>
      <c r="B895" s="1" t="s">
        <v>94</v>
      </c>
      <c r="C895" s="4">
        <v>175</v>
      </c>
      <c r="D895" s="8">
        <v>6.37</v>
      </c>
      <c r="E895" s="4">
        <v>71</v>
      </c>
      <c r="F895" s="8">
        <v>5.0999999999999996</v>
      </c>
      <c r="G895" s="4">
        <v>104</v>
      </c>
      <c r="H895" s="8">
        <v>7.7</v>
      </c>
      <c r="I895" s="4">
        <v>0</v>
      </c>
    </row>
    <row r="896" spans="1:9" x14ac:dyDescent="0.15">
      <c r="A896" s="2">
        <v>6</v>
      </c>
      <c r="B896" s="1" t="s">
        <v>92</v>
      </c>
      <c r="C896" s="4">
        <v>170</v>
      </c>
      <c r="D896" s="8">
        <v>6.19</v>
      </c>
      <c r="E896" s="4">
        <v>107</v>
      </c>
      <c r="F896" s="8">
        <v>7.68</v>
      </c>
      <c r="G896" s="4">
        <v>63</v>
      </c>
      <c r="H896" s="8">
        <v>4.67</v>
      </c>
      <c r="I896" s="4">
        <v>0</v>
      </c>
    </row>
    <row r="897" spans="1:9" x14ac:dyDescent="0.15">
      <c r="A897" s="2">
        <v>7</v>
      </c>
      <c r="B897" s="1" t="s">
        <v>102</v>
      </c>
      <c r="C897" s="4">
        <v>146</v>
      </c>
      <c r="D897" s="8">
        <v>5.32</v>
      </c>
      <c r="E897" s="4">
        <v>113</v>
      </c>
      <c r="F897" s="8">
        <v>8.11</v>
      </c>
      <c r="G897" s="4">
        <v>33</v>
      </c>
      <c r="H897" s="8">
        <v>2.44</v>
      </c>
      <c r="I897" s="4">
        <v>0</v>
      </c>
    </row>
    <row r="898" spans="1:9" x14ac:dyDescent="0.15">
      <c r="A898" s="2">
        <v>8</v>
      </c>
      <c r="B898" s="1" t="s">
        <v>86</v>
      </c>
      <c r="C898" s="4">
        <v>117</v>
      </c>
      <c r="D898" s="8">
        <v>4.26</v>
      </c>
      <c r="E898" s="4">
        <v>40</v>
      </c>
      <c r="F898" s="8">
        <v>2.87</v>
      </c>
      <c r="G898" s="4">
        <v>77</v>
      </c>
      <c r="H898" s="8">
        <v>5.7</v>
      </c>
      <c r="I898" s="4">
        <v>0</v>
      </c>
    </row>
    <row r="899" spans="1:9" x14ac:dyDescent="0.15">
      <c r="A899" s="2">
        <v>9</v>
      </c>
      <c r="B899" s="1" t="s">
        <v>103</v>
      </c>
      <c r="C899" s="4">
        <v>106</v>
      </c>
      <c r="D899" s="8">
        <v>3.86</v>
      </c>
      <c r="E899" s="4">
        <v>90</v>
      </c>
      <c r="F899" s="8">
        <v>6.46</v>
      </c>
      <c r="G899" s="4">
        <v>16</v>
      </c>
      <c r="H899" s="8">
        <v>1.19</v>
      </c>
      <c r="I899" s="4">
        <v>0</v>
      </c>
    </row>
    <row r="900" spans="1:9" x14ac:dyDescent="0.15">
      <c r="A900" s="2">
        <v>10</v>
      </c>
      <c r="B900" s="1" t="s">
        <v>87</v>
      </c>
      <c r="C900" s="4">
        <v>94</v>
      </c>
      <c r="D900" s="8">
        <v>3.42</v>
      </c>
      <c r="E900" s="4">
        <v>15</v>
      </c>
      <c r="F900" s="8">
        <v>1.08</v>
      </c>
      <c r="G900" s="4">
        <v>79</v>
      </c>
      <c r="H900" s="8">
        <v>5.85</v>
      </c>
      <c r="I900" s="4">
        <v>0</v>
      </c>
    </row>
    <row r="901" spans="1:9" x14ac:dyDescent="0.15">
      <c r="A901" s="2">
        <v>11</v>
      </c>
      <c r="B901" s="1" t="s">
        <v>93</v>
      </c>
      <c r="C901" s="4">
        <v>81</v>
      </c>
      <c r="D901" s="8">
        <v>2.95</v>
      </c>
      <c r="E901" s="4">
        <v>37</v>
      </c>
      <c r="F901" s="8">
        <v>2.66</v>
      </c>
      <c r="G901" s="4">
        <v>44</v>
      </c>
      <c r="H901" s="8">
        <v>3.26</v>
      </c>
      <c r="I901" s="4">
        <v>0</v>
      </c>
    </row>
    <row r="902" spans="1:9" x14ac:dyDescent="0.15">
      <c r="A902" s="2">
        <v>12</v>
      </c>
      <c r="B902" s="1" t="s">
        <v>91</v>
      </c>
      <c r="C902" s="4">
        <v>74</v>
      </c>
      <c r="D902" s="8">
        <v>2.69</v>
      </c>
      <c r="E902" s="4">
        <v>37</v>
      </c>
      <c r="F902" s="8">
        <v>2.66</v>
      </c>
      <c r="G902" s="4">
        <v>37</v>
      </c>
      <c r="H902" s="8">
        <v>2.74</v>
      </c>
      <c r="I902" s="4">
        <v>0</v>
      </c>
    </row>
    <row r="903" spans="1:9" x14ac:dyDescent="0.15">
      <c r="A903" s="2">
        <v>13</v>
      </c>
      <c r="B903" s="1" t="s">
        <v>95</v>
      </c>
      <c r="C903" s="4">
        <v>72</v>
      </c>
      <c r="D903" s="8">
        <v>2.62</v>
      </c>
      <c r="E903" s="4">
        <v>8</v>
      </c>
      <c r="F903" s="8">
        <v>0.56999999999999995</v>
      </c>
      <c r="G903" s="4">
        <v>64</v>
      </c>
      <c r="H903" s="8">
        <v>4.74</v>
      </c>
      <c r="I903" s="4">
        <v>0</v>
      </c>
    </row>
    <row r="904" spans="1:9" x14ac:dyDescent="0.15">
      <c r="A904" s="2">
        <v>14</v>
      </c>
      <c r="B904" s="1" t="s">
        <v>98</v>
      </c>
      <c r="C904" s="4">
        <v>59</v>
      </c>
      <c r="D904" s="8">
        <v>2.15</v>
      </c>
      <c r="E904" s="4">
        <v>25</v>
      </c>
      <c r="F904" s="8">
        <v>1.79</v>
      </c>
      <c r="G904" s="4">
        <v>34</v>
      </c>
      <c r="H904" s="8">
        <v>2.52</v>
      </c>
      <c r="I904" s="4">
        <v>0</v>
      </c>
    </row>
    <row r="905" spans="1:9" x14ac:dyDescent="0.15">
      <c r="A905" s="2">
        <v>15</v>
      </c>
      <c r="B905" s="1" t="s">
        <v>97</v>
      </c>
      <c r="C905" s="4">
        <v>57</v>
      </c>
      <c r="D905" s="8">
        <v>2.08</v>
      </c>
      <c r="E905" s="4">
        <v>41</v>
      </c>
      <c r="F905" s="8">
        <v>2.94</v>
      </c>
      <c r="G905" s="4">
        <v>16</v>
      </c>
      <c r="H905" s="8">
        <v>1.19</v>
      </c>
      <c r="I905" s="4">
        <v>0</v>
      </c>
    </row>
    <row r="906" spans="1:9" x14ac:dyDescent="0.15">
      <c r="A906" s="2">
        <v>16</v>
      </c>
      <c r="B906" s="1" t="s">
        <v>89</v>
      </c>
      <c r="C906" s="4">
        <v>44</v>
      </c>
      <c r="D906" s="8">
        <v>1.6</v>
      </c>
      <c r="E906" s="4">
        <v>9</v>
      </c>
      <c r="F906" s="8">
        <v>0.65</v>
      </c>
      <c r="G906" s="4">
        <v>35</v>
      </c>
      <c r="H906" s="8">
        <v>2.59</v>
      </c>
      <c r="I906" s="4">
        <v>0</v>
      </c>
    </row>
    <row r="907" spans="1:9" x14ac:dyDescent="0.15">
      <c r="A907" s="2">
        <v>17</v>
      </c>
      <c r="B907" s="1" t="s">
        <v>88</v>
      </c>
      <c r="C907" s="4">
        <v>32</v>
      </c>
      <c r="D907" s="8">
        <v>1.17</v>
      </c>
      <c r="E907" s="4">
        <v>5</v>
      </c>
      <c r="F907" s="8">
        <v>0.36</v>
      </c>
      <c r="G907" s="4">
        <v>27</v>
      </c>
      <c r="H907" s="8">
        <v>2</v>
      </c>
      <c r="I907" s="4">
        <v>0</v>
      </c>
    </row>
    <row r="908" spans="1:9" x14ac:dyDescent="0.15">
      <c r="A908" s="2">
        <v>17</v>
      </c>
      <c r="B908" s="1" t="s">
        <v>101</v>
      </c>
      <c r="C908" s="4">
        <v>32</v>
      </c>
      <c r="D908" s="8">
        <v>1.17</v>
      </c>
      <c r="E908" s="4">
        <v>16</v>
      </c>
      <c r="F908" s="8">
        <v>1.1499999999999999</v>
      </c>
      <c r="G908" s="4">
        <v>16</v>
      </c>
      <c r="H908" s="8">
        <v>1.19</v>
      </c>
      <c r="I908" s="4">
        <v>0</v>
      </c>
    </row>
    <row r="909" spans="1:9" x14ac:dyDescent="0.15">
      <c r="A909" s="2">
        <v>19</v>
      </c>
      <c r="B909" s="1" t="s">
        <v>106</v>
      </c>
      <c r="C909" s="4">
        <v>29</v>
      </c>
      <c r="D909" s="8">
        <v>1.06</v>
      </c>
      <c r="E909" s="4">
        <v>4</v>
      </c>
      <c r="F909" s="8">
        <v>0.28999999999999998</v>
      </c>
      <c r="G909" s="4">
        <v>24</v>
      </c>
      <c r="H909" s="8">
        <v>1.78</v>
      </c>
      <c r="I909" s="4">
        <v>1</v>
      </c>
    </row>
    <row r="910" spans="1:9" x14ac:dyDescent="0.15">
      <c r="A910" s="2">
        <v>20</v>
      </c>
      <c r="B910" s="1" t="s">
        <v>104</v>
      </c>
      <c r="C910" s="4">
        <v>24</v>
      </c>
      <c r="D910" s="8">
        <v>0.87</v>
      </c>
      <c r="E910" s="4">
        <v>3</v>
      </c>
      <c r="F910" s="8">
        <v>0.22</v>
      </c>
      <c r="G910" s="4">
        <v>20</v>
      </c>
      <c r="H910" s="8">
        <v>1.48</v>
      </c>
      <c r="I910" s="4">
        <v>1</v>
      </c>
    </row>
    <row r="911" spans="1:9" x14ac:dyDescent="0.15">
      <c r="A911" s="1"/>
      <c r="C911" s="4"/>
      <c r="D911" s="8"/>
      <c r="E911" s="4"/>
      <c r="F911" s="8"/>
      <c r="G911" s="4"/>
      <c r="H911" s="8"/>
      <c r="I911" s="4"/>
    </row>
    <row r="912" spans="1:9" x14ac:dyDescent="0.15">
      <c r="A912" s="1" t="s">
        <v>41</v>
      </c>
      <c r="C912" s="4"/>
      <c r="D912" s="8"/>
      <c r="E912" s="4"/>
      <c r="F912" s="8"/>
      <c r="G912" s="4"/>
      <c r="H912" s="8"/>
      <c r="I912" s="4"/>
    </row>
    <row r="913" spans="1:9" x14ac:dyDescent="0.15">
      <c r="A913" s="2">
        <v>1</v>
      </c>
      <c r="B913" s="1" t="s">
        <v>96</v>
      </c>
      <c r="C913" s="4">
        <v>917</v>
      </c>
      <c r="D913" s="8">
        <v>17.79</v>
      </c>
      <c r="E913" s="4">
        <v>575</v>
      </c>
      <c r="F913" s="8">
        <v>25.89</v>
      </c>
      <c r="G913" s="4">
        <v>340</v>
      </c>
      <c r="H913" s="8">
        <v>11.63</v>
      </c>
      <c r="I913" s="4">
        <v>2</v>
      </c>
    </row>
    <row r="914" spans="1:9" x14ac:dyDescent="0.15">
      <c r="A914" s="2">
        <v>2</v>
      </c>
      <c r="B914" s="1" t="s">
        <v>99</v>
      </c>
      <c r="C914" s="4">
        <v>444</v>
      </c>
      <c r="D914" s="8">
        <v>8.61</v>
      </c>
      <c r="E914" s="4">
        <v>359</v>
      </c>
      <c r="F914" s="8">
        <v>16.16</v>
      </c>
      <c r="G914" s="4">
        <v>84</v>
      </c>
      <c r="H914" s="8">
        <v>2.87</v>
      </c>
      <c r="I914" s="4">
        <v>1</v>
      </c>
    </row>
    <row r="915" spans="1:9" x14ac:dyDescent="0.15">
      <c r="A915" s="2">
        <v>3</v>
      </c>
      <c r="B915" s="1" t="s">
        <v>100</v>
      </c>
      <c r="C915" s="4">
        <v>391</v>
      </c>
      <c r="D915" s="8">
        <v>7.58</v>
      </c>
      <c r="E915" s="4">
        <v>294</v>
      </c>
      <c r="F915" s="8">
        <v>13.24</v>
      </c>
      <c r="G915" s="4">
        <v>97</v>
      </c>
      <c r="H915" s="8">
        <v>3.32</v>
      </c>
      <c r="I915" s="4">
        <v>0</v>
      </c>
    </row>
    <row r="916" spans="1:9" x14ac:dyDescent="0.15">
      <c r="A916" s="2">
        <v>4</v>
      </c>
      <c r="B916" s="1" t="s">
        <v>85</v>
      </c>
      <c r="C916" s="4">
        <v>333</v>
      </c>
      <c r="D916" s="8">
        <v>6.46</v>
      </c>
      <c r="E916" s="4">
        <v>60</v>
      </c>
      <c r="F916" s="8">
        <v>2.7</v>
      </c>
      <c r="G916" s="4">
        <v>273</v>
      </c>
      <c r="H916" s="8">
        <v>9.34</v>
      </c>
      <c r="I916" s="4">
        <v>0</v>
      </c>
    </row>
    <row r="917" spans="1:9" x14ac:dyDescent="0.15">
      <c r="A917" s="2">
        <v>5</v>
      </c>
      <c r="B917" s="1" t="s">
        <v>94</v>
      </c>
      <c r="C917" s="4">
        <v>271</v>
      </c>
      <c r="D917" s="8">
        <v>5.26</v>
      </c>
      <c r="E917" s="4">
        <v>99</v>
      </c>
      <c r="F917" s="8">
        <v>4.46</v>
      </c>
      <c r="G917" s="4">
        <v>171</v>
      </c>
      <c r="H917" s="8">
        <v>5.85</v>
      </c>
      <c r="I917" s="4">
        <v>1</v>
      </c>
    </row>
    <row r="918" spans="1:9" x14ac:dyDescent="0.15">
      <c r="A918" s="2">
        <v>6</v>
      </c>
      <c r="B918" s="1" t="s">
        <v>86</v>
      </c>
      <c r="C918" s="4">
        <v>270</v>
      </c>
      <c r="D918" s="8">
        <v>5.24</v>
      </c>
      <c r="E918" s="4">
        <v>89</v>
      </c>
      <c r="F918" s="8">
        <v>4.01</v>
      </c>
      <c r="G918" s="4">
        <v>181</v>
      </c>
      <c r="H918" s="8">
        <v>6.19</v>
      </c>
      <c r="I918" s="4">
        <v>0</v>
      </c>
    </row>
    <row r="919" spans="1:9" x14ac:dyDescent="0.15">
      <c r="A919" s="2">
        <v>7</v>
      </c>
      <c r="B919" s="1" t="s">
        <v>87</v>
      </c>
      <c r="C919" s="4">
        <v>208</v>
      </c>
      <c r="D919" s="8">
        <v>4.03</v>
      </c>
      <c r="E919" s="4">
        <v>28</v>
      </c>
      <c r="F919" s="8">
        <v>1.26</v>
      </c>
      <c r="G919" s="4">
        <v>180</v>
      </c>
      <c r="H919" s="8">
        <v>6.16</v>
      </c>
      <c r="I919" s="4">
        <v>0</v>
      </c>
    </row>
    <row r="920" spans="1:9" x14ac:dyDescent="0.15">
      <c r="A920" s="2">
        <v>8</v>
      </c>
      <c r="B920" s="1" t="s">
        <v>103</v>
      </c>
      <c r="C920" s="4">
        <v>166</v>
      </c>
      <c r="D920" s="8">
        <v>3.22</v>
      </c>
      <c r="E920" s="4">
        <v>138</v>
      </c>
      <c r="F920" s="8">
        <v>6.21</v>
      </c>
      <c r="G920" s="4">
        <v>28</v>
      </c>
      <c r="H920" s="8">
        <v>0.96</v>
      </c>
      <c r="I920" s="4">
        <v>0</v>
      </c>
    </row>
    <row r="921" spans="1:9" x14ac:dyDescent="0.15">
      <c r="A921" s="2">
        <v>9</v>
      </c>
      <c r="B921" s="1" t="s">
        <v>102</v>
      </c>
      <c r="C921" s="4">
        <v>159</v>
      </c>
      <c r="D921" s="8">
        <v>3.08</v>
      </c>
      <c r="E921" s="4">
        <v>93</v>
      </c>
      <c r="F921" s="8">
        <v>4.1900000000000004</v>
      </c>
      <c r="G921" s="4">
        <v>66</v>
      </c>
      <c r="H921" s="8">
        <v>2.2599999999999998</v>
      </c>
      <c r="I921" s="4">
        <v>0</v>
      </c>
    </row>
    <row r="922" spans="1:9" x14ac:dyDescent="0.15">
      <c r="A922" s="2">
        <v>10</v>
      </c>
      <c r="B922" s="1" t="s">
        <v>93</v>
      </c>
      <c r="C922" s="4">
        <v>155</v>
      </c>
      <c r="D922" s="8">
        <v>3.01</v>
      </c>
      <c r="E922" s="4">
        <v>57</v>
      </c>
      <c r="F922" s="8">
        <v>2.57</v>
      </c>
      <c r="G922" s="4">
        <v>98</v>
      </c>
      <c r="H922" s="8">
        <v>3.35</v>
      </c>
      <c r="I922" s="4">
        <v>0</v>
      </c>
    </row>
    <row r="923" spans="1:9" x14ac:dyDescent="0.15">
      <c r="A923" s="2">
        <v>11</v>
      </c>
      <c r="B923" s="1" t="s">
        <v>92</v>
      </c>
      <c r="C923" s="4">
        <v>142</v>
      </c>
      <c r="D923" s="8">
        <v>2.75</v>
      </c>
      <c r="E923" s="4">
        <v>74</v>
      </c>
      <c r="F923" s="8">
        <v>3.33</v>
      </c>
      <c r="G923" s="4">
        <v>65</v>
      </c>
      <c r="H923" s="8">
        <v>2.2200000000000002</v>
      </c>
      <c r="I923" s="4">
        <v>3</v>
      </c>
    </row>
    <row r="924" spans="1:9" x14ac:dyDescent="0.15">
      <c r="A924" s="2">
        <v>12</v>
      </c>
      <c r="B924" s="1" t="s">
        <v>90</v>
      </c>
      <c r="C924" s="4">
        <v>123</v>
      </c>
      <c r="D924" s="8">
        <v>2.39</v>
      </c>
      <c r="E924" s="4">
        <v>2</v>
      </c>
      <c r="F924" s="8">
        <v>0.09</v>
      </c>
      <c r="G924" s="4">
        <v>120</v>
      </c>
      <c r="H924" s="8">
        <v>4.0999999999999996</v>
      </c>
      <c r="I924" s="4">
        <v>1</v>
      </c>
    </row>
    <row r="925" spans="1:9" x14ac:dyDescent="0.15">
      <c r="A925" s="2">
        <v>12</v>
      </c>
      <c r="B925" s="1" t="s">
        <v>98</v>
      </c>
      <c r="C925" s="4">
        <v>123</v>
      </c>
      <c r="D925" s="8">
        <v>2.39</v>
      </c>
      <c r="E925" s="4">
        <v>34</v>
      </c>
      <c r="F925" s="8">
        <v>1.53</v>
      </c>
      <c r="G925" s="4">
        <v>89</v>
      </c>
      <c r="H925" s="8">
        <v>3.04</v>
      </c>
      <c r="I925" s="4">
        <v>0</v>
      </c>
    </row>
    <row r="926" spans="1:9" x14ac:dyDescent="0.15">
      <c r="A926" s="2">
        <v>14</v>
      </c>
      <c r="B926" s="1" t="s">
        <v>97</v>
      </c>
      <c r="C926" s="4">
        <v>113</v>
      </c>
      <c r="D926" s="8">
        <v>2.19</v>
      </c>
      <c r="E926" s="4">
        <v>78</v>
      </c>
      <c r="F926" s="8">
        <v>3.51</v>
      </c>
      <c r="G926" s="4">
        <v>35</v>
      </c>
      <c r="H926" s="8">
        <v>1.2</v>
      </c>
      <c r="I926" s="4">
        <v>0</v>
      </c>
    </row>
    <row r="927" spans="1:9" x14ac:dyDescent="0.15">
      <c r="A927" s="2">
        <v>15</v>
      </c>
      <c r="B927" s="1" t="s">
        <v>95</v>
      </c>
      <c r="C927" s="4">
        <v>107</v>
      </c>
      <c r="D927" s="8">
        <v>2.08</v>
      </c>
      <c r="E927" s="4">
        <v>4</v>
      </c>
      <c r="F927" s="8">
        <v>0.18</v>
      </c>
      <c r="G927" s="4">
        <v>103</v>
      </c>
      <c r="H927" s="8">
        <v>3.52</v>
      </c>
      <c r="I927" s="4">
        <v>0</v>
      </c>
    </row>
    <row r="928" spans="1:9" x14ac:dyDescent="0.15">
      <c r="A928" s="2">
        <v>16</v>
      </c>
      <c r="B928" s="1" t="s">
        <v>91</v>
      </c>
      <c r="C928" s="4">
        <v>90</v>
      </c>
      <c r="D928" s="8">
        <v>1.75</v>
      </c>
      <c r="E928" s="4">
        <v>27</v>
      </c>
      <c r="F928" s="8">
        <v>1.22</v>
      </c>
      <c r="G928" s="4">
        <v>63</v>
      </c>
      <c r="H928" s="8">
        <v>2.15</v>
      </c>
      <c r="I928" s="4">
        <v>0</v>
      </c>
    </row>
    <row r="929" spans="1:9" x14ac:dyDescent="0.15">
      <c r="A929" s="2">
        <v>17</v>
      </c>
      <c r="B929" s="1" t="s">
        <v>89</v>
      </c>
      <c r="C929" s="4">
        <v>71</v>
      </c>
      <c r="D929" s="8">
        <v>1.38</v>
      </c>
      <c r="E929" s="4">
        <v>10</v>
      </c>
      <c r="F929" s="8">
        <v>0.45</v>
      </c>
      <c r="G929" s="4">
        <v>61</v>
      </c>
      <c r="H929" s="8">
        <v>2.09</v>
      </c>
      <c r="I929" s="4">
        <v>0</v>
      </c>
    </row>
    <row r="930" spans="1:9" x14ac:dyDescent="0.15">
      <c r="A930" s="2">
        <v>18</v>
      </c>
      <c r="B930" s="1" t="s">
        <v>117</v>
      </c>
      <c r="C930" s="4">
        <v>70</v>
      </c>
      <c r="D930" s="8">
        <v>1.36</v>
      </c>
      <c r="E930" s="4">
        <v>36</v>
      </c>
      <c r="F930" s="8">
        <v>1.62</v>
      </c>
      <c r="G930" s="4">
        <v>34</v>
      </c>
      <c r="H930" s="8">
        <v>1.1599999999999999</v>
      </c>
      <c r="I930" s="4">
        <v>0</v>
      </c>
    </row>
    <row r="931" spans="1:9" x14ac:dyDescent="0.15">
      <c r="A931" s="2">
        <v>19</v>
      </c>
      <c r="B931" s="1" t="s">
        <v>104</v>
      </c>
      <c r="C931" s="4">
        <v>66</v>
      </c>
      <c r="D931" s="8">
        <v>1.28</v>
      </c>
      <c r="E931" s="4">
        <v>7</v>
      </c>
      <c r="F931" s="8">
        <v>0.32</v>
      </c>
      <c r="G931" s="4">
        <v>58</v>
      </c>
      <c r="H931" s="8">
        <v>1.98</v>
      </c>
      <c r="I931" s="4">
        <v>1</v>
      </c>
    </row>
    <row r="932" spans="1:9" x14ac:dyDescent="0.15">
      <c r="A932" s="2">
        <v>20</v>
      </c>
      <c r="B932" s="1" t="s">
        <v>106</v>
      </c>
      <c r="C932" s="4">
        <v>63</v>
      </c>
      <c r="D932" s="8">
        <v>1.22</v>
      </c>
      <c r="E932" s="4">
        <v>5</v>
      </c>
      <c r="F932" s="8">
        <v>0.23</v>
      </c>
      <c r="G932" s="4">
        <v>58</v>
      </c>
      <c r="H932" s="8">
        <v>1.98</v>
      </c>
      <c r="I932" s="4">
        <v>0</v>
      </c>
    </row>
    <row r="933" spans="1:9" x14ac:dyDescent="0.15">
      <c r="A933" s="1"/>
      <c r="C933" s="4"/>
      <c r="D933" s="8"/>
      <c r="E933" s="4"/>
      <c r="F933" s="8"/>
      <c r="G933" s="4"/>
      <c r="H933" s="8"/>
      <c r="I933" s="4"/>
    </row>
    <row r="934" spans="1:9" x14ac:dyDescent="0.15">
      <c r="A934" s="1" t="s">
        <v>42</v>
      </c>
      <c r="C934" s="4"/>
      <c r="D934" s="8"/>
      <c r="E934" s="4"/>
      <c r="F934" s="8"/>
      <c r="G934" s="4"/>
      <c r="H934" s="8"/>
      <c r="I934" s="4"/>
    </row>
    <row r="935" spans="1:9" x14ac:dyDescent="0.15">
      <c r="A935" s="2">
        <v>1</v>
      </c>
      <c r="B935" s="1" t="s">
        <v>96</v>
      </c>
      <c r="C935" s="4">
        <v>606</v>
      </c>
      <c r="D935" s="8">
        <v>14.05</v>
      </c>
      <c r="E935" s="4">
        <v>364</v>
      </c>
      <c r="F935" s="8">
        <v>17.82</v>
      </c>
      <c r="G935" s="4">
        <v>242</v>
      </c>
      <c r="H935" s="8">
        <v>10.72</v>
      </c>
      <c r="I935" s="4">
        <v>0</v>
      </c>
    </row>
    <row r="936" spans="1:9" x14ac:dyDescent="0.15">
      <c r="A936" s="2">
        <v>2</v>
      </c>
      <c r="B936" s="1" t="s">
        <v>99</v>
      </c>
      <c r="C936" s="4">
        <v>551</v>
      </c>
      <c r="D936" s="8">
        <v>12.78</v>
      </c>
      <c r="E936" s="4">
        <v>475</v>
      </c>
      <c r="F936" s="8">
        <v>23.25</v>
      </c>
      <c r="G936" s="4">
        <v>76</v>
      </c>
      <c r="H936" s="8">
        <v>3.37</v>
      </c>
      <c r="I936" s="4">
        <v>0</v>
      </c>
    </row>
    <row r="937" spans="1:9" x14ac:dyDescent="0.15">
      <c r="A937" s="2">
        <v>3</v>
      </c>
      <c r="B937" s="1" t="s">
        <v>100</v>
      </c>
      <c r="C937" s="4">
        <v>408</v>
      </c>
      <c r="D937" s="8">
        <v>9.4600000000000009</v>
      </c>
      <c r="E937" s="4">
        <v>303</v>
      </c>
      <c r="F937" s="8">
        <v>14.83</v>
      </c>
      <c r="G937" s="4">
        <v>105</v>
      </c>
      <c r="H937" s="8">
        <v>4.6500000000000004</v>
      </c>
      <c r="I937" s="4">
        <v>0</v>
      </c>
    </row>
    <row r="938" spans="1:9" x14ac:dyDescent="0.15">
      <c r="A938" s="2">
        <v>4</v>
      </c>
      <c r="B938" s="1" t="s">
        <v>94</v>
      </c>
      <c r="C938" s="4">
        <v>249</v>
      </c>
      <c r="D938" s="8">
        <v>5.77</v>
      </c>
      <c r="E938" s="4">
        <v>100</v>
      </c>
      <c r="F938" s="8">
        <v>4.8899999999999997</v>
      </c>
      <c r="G938" s="4">
        <v>149</v>
      </c>
      <c r="H938" s="8">
        <v>6.6</v>
      </c>
      <c r="I938" s="4">
        <v>0</v>
      </c>
    </row>
    <row r="939" spans="1:9" x14ac:dyDescent="0.15">
      <c r="A939" s="2">
        <v>5</v>
      </c>
      <c r="B939" s="1" t="s">
        <v>86</v>
      </c>
      <c r="C939" s="4">
        <v>220</v>
      </c>
      <c r="D939" s="8">
        <v>5.0999999999999996</v>
      </c>
      <c r="E939" s="4">
        <v>44</v>
      </c>
      <c r="F939" s="8">
        <v>2.15</v>
      </c>
      <c r="G939" s="4">
        <v>176</v>
      </c>
      <c r="H939" s="8">
        <v>7.79</v>
      </c>
      <c r="I939" s="4">
        <v>0</v>
      </c>
    </row>
    <row r="940" spans="1:9" x14ac:dyDescent="0.15">
      <c r="A940" s="2">
        <v>6</v>
      </c>
      <c r="B940" s="1" t="s">
        <v>85</v>
      </c>
      <c r="C940" s="4">
        <v>212</v>
      </c>
      <c r="D940" s="8">
        <v>4.92</v>
      </c>
      <c r="E940" s="4">
        <v>26</v>
      </c>
      <c r="F940" s="8">
        <v>1.27</v>
      </c>
      <c r="G940" s="4">
        <v>186</v>
      </c>
      <c r="H940" s="8">
        <v>8.24</v>
      </c>
      <c r="I940" s="4">
        <v>0</v>
      </c>
    </row>
    <row r="941" spans="1:9" x14ac:dyDescent="0.15">
      <c r="A941" s="2">
        <v>7</v>
      </c>
      <c r="B941" s="1" t="s">
        <v>103</v>
      </c>
      <c r="C941" s="4">
        <v>170</v>
      </c>
      <c r="D941" s="8">
        <v>3.94</v>
      </c>
      <c r="E941" s="4">
        <v>145</v>
      </c>
      <c r="F941" s="8">
        <v>7.1</v>
      </c>
      <c r="G941" s="4">
        <v>25</v>
      </c>
      <c r="H941" s="8">
        <v>1.1100000000000001</v>
      </c>
      <c r="I941" s="4">
        <v>0</v>
      </c>
    </row>
    <row r="942" spans="1:9" x14ac:dyDescent="0.15">
      <c r="A942" s="2">
        <v>8</v>
      </c>
      <c r="B942" s="1" t="s">
        <v>102</v>
      </c>
      <c r="C942" s="4">
        <v>169</v>
      </c>
      <c r="D942" s="8">
        <v>3.92</v>
      </c>
      <c r="E942" s="4">
        <v>117</v>
      </c>
      <c r="F942" s="8">
        <v>5.73</v>
      </c>
      <c r="G942" s="4">
        <v>52</v>
      </c>
      <c r="H942" s="8">
        <v>2.2999999999999998</v>
      </c>
      <c r="I942" s="4">
        <v>0</v>
      </c>
    </row>
    <row r="943" spans="1:9" x14ac:dyDescent="0.15">
      <c r="A943" s="2">
        <v>9</v>
      </c>
      <c r="B943" s="1" t="s">
        <v>92</v>
      </c>
      <c r="C943" s="4">
        <v>161</v>
      </c>
      <c r="D943" s="8">
        <v>3.73</v>
      </c>
      <c r="E943" s="4">
        <v>105</v>
      </c>
      <c r="F943" s="8">
        <v>5.14</v>
      </c>
      <c r="G943" s="4">
        <v>55</v>
      </c>
      <c r="H943" s="8">
        <v>2.44</v>
      </c>
      <c r="I943" s="4">
        <v>1</v>
      </c>
    </row>
    <row r="944" spans="1:9" x14ac:dyDescent="0.15">
      <c r="A944" s="2">
        <v>10</v>
      </c>
      <c r="B944" s="1" t="s">
        <v>87</v>
      </c>
      <c r="C944" s="4">
        <v>156</v>
      </c>
      <c r="D944" s="8">
        <v>3.62</v>
      </c>
      <c r="E944" s="4">
        <v>11</v>
      </c>
      <c r="F944" s="8">
        <v>0.54</v>
      </c>
      <c r="G944" s="4">
        <v>145</v>
      </c>
      <c r="H944" s="8">
        <v>6.42</v>
      </c>
      <c r="I944" s="4">
        <v>0</v>
      </c>
    </row>
    <row r="945" spans="1:9" x14ac:dyDescent="0.15">
      <c r="A945" s="2">
        <v>11</v>
      </c>
      <c r="B945" s="1" t="s">
        <v>93</v>
      </c>
      <c r="C945" s="4">
        <v>117</v>
      </c>
      <c r="D945" s="8">
        <v>2.71</v>
      </c>
      <c r="E945" s="4">
        <v>42</v>
      </c>
      <c r="F945" s="8">
        <v>2.06</v>
      </c>
      <c r="G945" s="4">
        <v>75</v>
      </c>
      <c r="H945" s="8">
        <v>3.32</v>
      </c>
      <c r="I945" s="4">
        <v>0</v>
      </c>
    </row>
    <row r="946" spans="1:9" x14ac:dyDescent="0.15">
      <c r="A946" s="2">
        <v>12</v>
      </c>
      <c r="B946" s="1" t="s">
        <v>95</v>
      </c>
      <c r="C946" s="4">
        <v>104</v>
      </c>
      <c r="D946" s="8">
        <v>2.41</v>
      </c>
      <c r="E946" s="4">
        <v>7</v>
      </c>
      <c r="F946" s="8">
        <v>0.34</v>
      </c>
      <c r="G946" s="4">
        <v>97</v>
      </c>
      <c r="H946" s="8">
        <v>4.3</v>
      </c>
      <c r="I946" s="4">
        <v>0</v>
      </c>
    </row>
    <row r="947" spans="1:9" x14ac:dyDescent="0.15">
      <c r="A947" s="2">
        <v>13</v>
      </c>
      <c r="B947" s="1" t="s">
        <v>97</v>
      </c>
      <c r="C947" s="4">
        <v>94</v>
      </c>
      <c r="D947" s="8">
        <v>2.1800000000000002</v>
      </c>
      <c r="E947" s="4">
        <v>63</v>
      </c>
      <c r="F947" s="8">
        <v>3.08</v>
      </c>
      <c r="G947" s="4">
        <v>31</v>
      </c>
      <c r="H947" s="8">
        <v>1.37</v>
      </c>
      <c r="I947" s="4">
        <v>0</v>
      </c>
    </row>
    <row r="948" spans="1:9" x14ac:dyDescent="0.15">
      <c r="A948" s="2">
        <v>14</v>
      </c>
      <c r="B948" s="1" t="s">
        <v>91</v>
      </c>
      <c r="C948" s="4">
        <v>92</v>
      </c>
      <c r="D948" s="8">
        <v>2.13</v>
      </c>
      <c r="E948" s="4">
        <v>39</v>
      </c>
      <c r="F948" s="8">
        <v>1.91</v>
      </c>
      <c r="G948" s="4">
        <v>53</v>
      </c>
      <c r="H948" s="8">
        <v>2.35</v>
      </c>
      <c r="I948" s="4">
        <v>0</v>
      </c>
    </row>
    <row r="949" spans="1:9" x14ac:dyDescent="0.15">
      <c r="A949" s="2">
        <v>15</v>
      </c>
      <c r="B949" s="1" t="s">
        <v>98</v>
      </c>
      <c r="C949" s="4">
        <v>88</v>
      </c>
      <c r="D949" s="8">
        <v>2.04</v>
      </c>
      <c r="E949" s="4">
        <v>25</v>
      </c>
      <c r="F949" s="8">
        <v>1.22</v>
      </c>
      <c r="G949" s="4">
        <v>63</v>
      </c>
      <c r="H949" s="8">
        <v>2.79</v>
      </c>
      <c r="I949" s="4">
        <v>0</v>
      </c>
    </row>
    <row r="950" spans="1:9" x14ac:dyDescent="0.15">
      <c r="A950" s="2">
        <v>16</v>
      </c>
      <c r="B950" s="1" t="s">
        <v>90</v>
      </c>
      <c r="C950" s="4">
        <v>62</v>
      </c>
      <c r="D950" s="8">
        <v>1.44</v>
      </c>
      <c r="E950" s="4">
        <v>8</v>
      </c>
      <c r="F950" s="8">
        <v>0.39</v>
      </c>
      <c r="G950" s="4">
        <v>54</v>
      </c>
      <c r="H950" s="8">
        <v>2.39</v>
      </c>
      <c r="I950" s="4">
        <v>0</v>
      </c>
    </row>
    <row r="951" spans="1:9" x14ac:dyDescent="0.15">
      <c r="A951" s="2">
        <v>17</v>
      </c>
      <c r="B951" s="1" t="s">
        <v>101</v>
      </c>
      <c r="C951" s="4">
        <v>61</v>
      </c>
      <c r="D951" s="8">
        <v>1.41</v>
      </c>
      <c r="E951" s="4">
        <v>25</v>
      </c>
      <c r="F951" s="8">
        <v>1.22</v>
      </c>
      <c r="G951" s="4">
        <v>36</v>
      </c>
      <c r="H951" s="8">
        <v>1.59</v>
      </c>
      <c r="I951" s="4">
        <v>0</v>
      </c>
    </row>
    <row r="952" spans="1:9" x14ac:dyDescent="0.15">
      <c r="A952" s="2">
        <v>18</v>
      </c>
      <c r="B952" s="1" t="s">
        <v>89</v>
      </c>
      <c r="C952" s="4">
        <v>51</v>
      </c>
      <c r="D952" s="8">
        <v>1.18</v>
      </c>
      <c r="E952" s="4">
        <v>5</v>
      </c>
      <c r="F952" s="8">
        <v>0.24</v>
      </c>
      <c r="G952" s="4">
        <v>46</v>
      </c>
      <c r="H952" s="8">
        <v>2.04</v>
      </c>
      <c r="I952" s="4">
        <v>0</v>
      </c>
    </row>
    <row r="953" spans="1:9" x14ac:dyDescent="0.15">
      <c r="A953" s="2">
        <v>19</v>
      </c>
      <c r="B953" s="1" t="s">
        <v>117</v>
      </c>
      <c r="C953" s="4">
        <v>49</v>
      </c>
      <c r="D953" s="8">
        <v>1.1399999999999999</v>
      </c>
      <c r="E953" s="4">
        <v>24</v>
      </c>
      <c r="F953" s="8">
        <v>1.17</v>
      </c>
      <c r="G953" s="4">
        <v>25</v>
      </c>
      <c r="H953" s="8">
        <v>1.1100000000000001</v>
      </c>
      <c r="I953" s="4">
        <v>0</v>
      </c>
    </row>
    <row r="954" spans="1:9" x14ac:dyDescent="0.15">
      <c r="A954" s="2">
        <v>20</v>
      </c>
      <c r="B954" s="1" t="s">
        <v>105</v>
      </c>
      <c r="C954" s="4">
        <v>48</v>
      </c>
      <c r="D954" s="8">
        <v>1.1100000000000001</v>
      </c>
      <c r="E954" s="4">
        <v>6</v>
      </c>
      <c r="F954" s="8">
        <v>0.28999999999999998</v>
      </c>
      <c r="G954" s="4">
        <v>42</v>
      </c>
      <c r="H954" s="8">
        <v>1.86</v>
      </c>
      <c r="I954" s="4">
        <v>0</v>
      </c>
    </row>
    <row r="955" spans="1:9" x14ac:dyDescent="0.15">
      <c r="A955" s="1"/>
      <c r="C955" s="4"/>
      <c r="D955" s="8"/>
      <c r="E955" s="4"/>
      <c r="F955" s="8"/>
      <c r="G955" s="4"/>
      <c r="H955" s="8"/>
      <c r="I955" s="4"/>
    </row>
    <row r="956" spans="1:9" x14ac:dyDescent="0.15">
      <c r="A956" s="1" t="s">
        <v>43</v>
      </c>
      <c r="C956" s="4"/>
      <c r="D956" s="8"/>
      <c r="E956" s="4"/>
      <c r="F956" s="8"/>
      <c r="G956" s="4"/>
      <c r="H956" s="8"/>
      <c r="I956" s="4"/>
    </row>
    <row r="957" spans="1:9" x14ac:dyDescent="0.15">
      <c r="A957" s="2">
        <v>1</v>
      </c>
      <c r="B957" s="1" t="s">
        <v>96</v>
      </c>
      <c r="C957" s="4">
        <v>511</v>
      </c>
      <c r="D957" s="8">
        <v>24.26</v>
      </c>
      <c r="E957" s="4">
        <v>425</v>
      </c>
      <c r="F957" s="8">
        <v>35.619999999999997</v>
      </c>
      <c r="G957" s="4">
        <v>86</v>
      </c>
      <c r="H957" s="8">
        <v>9.44</v>
      </c>
      <c r="I957" s="4">
        <v>0</v>
      </c>
    </row>
    <row r="958" spans="1:9" x14ac:dyDescent="0.15">
      <c r="A958" s="2">
        <v>2</v>
      </c>
      <c r="B958" s="1" t="s">
        <v>99</v>
      </c>
      <c r="C958" s="4">
        <v>206</v>
      </c>
      <c r="D958" s="8">
        <v>9.7799999999999994</v>
      </c>
      <c r="E958" s="4">
        <v>171</v>
      </c>
      <c r="F958" s="8">
        <v>14.33</v>
      </c>
      <c r="G958" s="4">
        <v>35</v>
      </c>
      <c r="H958" s="8">
        <v>3.84</v>
      </c>
      <c r="I958" s="4">
        <v>0</v>
      </c>
    </row>
    <row r="959" spans="1:9" x14ac:dyDescent="0.15">
      <c r="A959" s="2">
        <v>3</v>
      </c>
      <c r="B959" s="1" t="s">
        <v>100</v>
      </c>
      <c r="C959" s="4">
        <v>168</v>
      </c>
      <c r="D959" s="8">
        <v>7.98</v>
      </c>
      <c r="E959" s="4">
        <v>133</v>
      </c>
      <c r="F959" s="8">
        <v>11.15</v>
      </c>
      <c r="G959" s="4">
        <v>35</v>
      </c>
      <c r="H959" s="8">
        <v>3.84</v>
      </c>
      <c r="I959" s="4">
        <v>0</v>
      </c>
    </row>
    <row r="960" spans="1:9" x14ac:dyDescent="0.15">
      <c r="A960" s="2">
        <v>4</v>
      </c>
      <c r="B960" s="1" t="s">
        <v>85</v>
      </c>
      <c r="C960" s="4">
        <v>132</v>
      </c>
      <c r="D960" s="8">
        <v>6.27</v>
      </c>
      <c r="E960" s="4">
        <v>29</v>
      </c>
      <c r="F960" s="8">
        <v>2.4300000000000002</v>
      </c>
      <c r="G960" s="4">
        <v>103</v>
      </c>
      <c r="H960" s="8">
        <v>11.31</v>
      </c>
      <c r="I960" s="4">
        <v>0</v>
      </c>
    </row>
    <row r="961" spans="1:9" x14ac:dyDescent="0.15">
      <c r="A961" s="2">
        <v>5</v>
      </c>
      <c r="B961" s="1" t="s">
        <v>94</v>
      </c>
      <c r="C961" s="4">
        <v>108</v>
      </c>
      <c r="D961" s="8">
        <v>5.13</v>
      </c>
      <c r="E961" s="4">
        <v>52</v>
      </c>
      <c r="F961" s="8">
        <v>4.3600000000000003</v>
      </c>
      <c r="G961" s="4">
        <v>56</v>
      </c>
      <c r="H961" s="8">
        <v>6.15</v>
      </c>
      <c r="I961" s="4">
        <v>0</v>
      </c>
    </row>
    <row r="962" spans="1:9" x14ac:dyDescent="0.15">
      <c r="A962" s="2">
        <v>6</v>
      </c>
      <c r="B962" s="1" t="s">
        <v>86</v>
      </c>
      <c r="C962" s="4">
        <v>81</v>
      </c>
      <c r="D962" s="8">
        <v>3.85</v>
      </c>
      <c r="E962" s="4">
        <v>23</v>
      </c>
      <c r="F962" s="8">
        <v>1.93</v>
      </c>
      <c r="G962" s="4">
        <v>58</v>
      </c>
      <c r="H962" s="8">
        <v>6.37</v>
      </c>
      <c r="I962" s="4">
        <v>0</v>
      </c>
    </row>
    <row r="963" spans="1:9" x14ac:dyDescent="0.15">
      <c r="A963" s="2">
        <v>6</v>
      </c>
      <c r="B963" s="1" t="s">
        <v>92</v>
      </c>
      <c r="C963" s="4">
        <v>81</v>
      </c>
      <c r="D963" s="8">
        <v>3.85</v>
      </c>
      <c r="E963" s="4">
        <v>44</v>
      </c>
      <c r="F963" s="8">
        <v>3.69</v>
      </c>
      <c r="G963" s="4">
        <v>37</v>
      </c>
      <c r="H963" s="8">
        <v>4.0599999999999996</v>
      </c>
      <c r="I963" s="4">
        <v>0</v>
      </c>
    </row>
    <row r="964" spans="1:9" x14ac:dyDescent="0.15">
      <c r="A964" s="2">
        <v>8</v>
      </c>
      <c r="B964" s="1" t="s">
        <v>103</v>
      </c>
      <c r="C964" s="4">
        <v>70</v>
      </c>
      <c r="D964" s="8">
        <v>3.32</v>
      </c>
      <c r="E964" s="4">
        <v>64</v>
      </c>
      <c r="F964" s="8">
        <v>5.36</v>
      </c>
      <c r="G964" s="4">
        <v>6</v>
      </c>
      <c r="H964" s="8">
        <v>0.66</v>
      </c>
      <c r="I964" s="4">
        <v>0</v>
      </c>
    </row>
    <row r="965" spans="1:9" x14ac:dyDescent="0.15">
      <c r="A965" s="2">
        <v>9</v>
      </c>
      <c r="B965" s="1" t="s">
        <v>102</v>
      </c>
      <c r="C965" s="4">
        <v>64</v>
      </c>
      <c r="D965" s="8">
        <v>3.04</v>
      </c>
      <c r="E965" s="4">
        <v>46</v>
      </c>
      <c r="F965" s="8">
        <v>3.86</v>
      </c>
      <c r="G965" s="4">
        <v>17</v>
      </c>
      <c r="H965" s="8">
        <v>1.87</v>
      </c>
      <c r="I965" s="4">
        <v>1</v>
      </c>
    </row>
    <row r="966" spans="1:9" x14ac:dyDescent="0.15">
      <c r="A966" s="2">
        <v>10</v>
      </c>
      <c r="B966" s="1" t="s">
        <v>93</v>
      </c>
      <c r="C966" s="4">
        <v>58</v>
      </c>
      <c r="D966" s="8">
        <v>2.75</v>
      </c>
      <c r="E966" s="4">
        <v>23</v>
      </c>
      <c r="F966" s="8">
        <v>1.93</v>
      </c>
      <c r="G966" s="4">
        <v>35</v>
      </c>
      <c r="H966" s="8">
        <v>3.84</v>
      </c>
      <c r="I966" s="4">
        <v>0</v>
      </c>
    </row>
    <row r="967" spans="1:9" x14ac:dyDescent="0.15">
      <c r="A967" s="2">
        <v>11</v>
      </c>
      <c r="B967" s="1" t="s">
        <v>87</v>
      </c>
      <c r="C967" s="4">
        <v>56</v>
      </c>
      <c r="D967" s="8">
        <v>2.66</v>
      </c>
      <c r="E967" s="4">
        <v>10</v>
      </c>
      <c r="F967" s="8">
        <v>0.84</v>
      </c>
      <c r="G967" s="4">
        <v>46</v>
      </c>
      <c r="H967" s="8">
        <v>5.05</v>
      </c>
      <c r="I967" s="4">
        <v>0</v>
      </c>
    </row>
    <row r="968" spans="1:9" x14ac:dyDescent="0.15">
      <c r="A968" s="2">
        <v>12</v>
      </c>
      <c r="B968" s="1" t="s">
        <v>91</v>
      </c>
      <c r="C968" s="4">
        <v>42</v>
      </c>
      <c r="D968" s="8">
        <v>1.99</v>
      </c>
      <c r="E968" s="4">
        <v>17</v>
      </c>
      <c r="F968" s="8">
        <v>1.42</v>
      </c>
      <c r="G968" s="4">
        <v>25</v>
      </c>
      <c r="H968" s="8">
        <v>2.74</v>
      </c>
      <c r="I968" s="4">
        <v>0</v>
      </c>
    </row>
    <row r="969" spans="1:9" x14ac:dyDescent="0.15">
      <c r="A969" s="2">
        <v>13</v>
      </c>
      <c r="B969" s="1" t="s">
        <v>98</v>
      </c>
      <c r="C969" s="4">
        <v>40</v>
      </c>
      <c r="D969" s="8">
        <v>1.9</v>
      </c>
      <c r="E969" s="4">
        <v>13</v>
      </c>
      <c r="F969" s="8">
        <v>1.0900000000000001</v>
      </c>
      <c r="G969" s="4">
        <v>27</v>
      </c>
      <c r="H969" s="8">
        <v>2.96</v>
      </c>
      <c r="I969" s="4">
        <v>0</v>
      </c>
    </row>
    <row r="970" spans="1:9" x14ac:dyDescent="0.15">
      <c r="A970" s="2">
        <v>14</v>
      </c>
      <c r="B970" s="1" t="s">
        <v>97</v>
      </c>
      <c r="C970" s="4">
        <v>36</v>
      </c>
      <c r="D970" s="8">
        <v>1.71</v>
      </c>
      <c r="E970" s="4">
        <v>26</v>
      </c>
      <c r="F970" s="8">
        <v>2.1800000000000002</v>
      </c>
      <c r="G970" s="4">
        <v>10</v>
      </c>
      <c r="H970" s="8">
        <v>1.1000000000000001</v>
      </c>
      <c r="I970" s="4">
        <v>0</v>
      </c>
    </row>
    <row r="971" spans="1:9" x14ac:dyDescent="0.15">
      <c r="A971" s="2">
        <v>15</v>
      </c>
      <c r="B971" s="1" t="s">
        <v>95</v>
      </c>
      <c r="C971" s="4">
        <v>31</v>
      </c>
      <c r="D971" s="8">
        <v>1.47</v>
      </c>
      <c r="E971" s="4">
        <v>5</v>
      </c>
      <c r="F971" s="8">
        <v>0.42</v>
      </c>
      <c r="G971" s="4">
        <v>26</v>
      </c>
      <c r="H971" s="8">
        <v>2.85</v>
      </c>
      <c r="I971" s="4">
        <v>0</v>
      </c>
    </row>
    <row r="972" spans="1:9" x14ac:dyDescent="0.15">
      <c r="A972" s="2">
        <v>16</v>
      </c>
      <c r="B972" s="1" t="s">
        <v>88</v>
      </c>
      <c r="C972" s="4">
        <v>28</v>
      </c>
      <c r="D972" s="8">
        <v>1.33</v>
      </c>
      <c r="E972" s="4">
        <v>10</v>
      </c>
      <c r="F972" s="8">
        <v>0.84</v>
      </c>
      <c r="G972" s="4">
        <v>18</v>
      </c>
      <c r="H972" s="8">
        <v>1.98</v>
      </c>
      <c r="I972" s="4">
        <v>0</v>
      </c>
    </row>
    <row r="973" spans="1:9" x14ac:dyDescent="0.15">
      <c r="A973" s="2">
        <v>16</v>
      </c>
      <c r="B973" s="1" t="s">
        <v>89</v>
      </c>
      <c r="C973" s="4">
        <v>28</v>
      </c>
      <c r="D973" s="8">
        <v>1.33</v>
      </c>
      <c r="E973" s="4">
        <v>5</v>
      </c>
      <c r="F973" s="8">
        <v>0.42</v>
      </c>
      <c r="G973" s="4">
        <v>23</v>
      </c>
      <c r="H973" s="8">
        <v>2.52</v>
      </c>
      <c r="I973" s="4">
        <v>0</v>
      </c>
    </row>
    <row r="974" spans="1:9" x14ac:dyDescent="0.15">
      <c r="A974" s="2">
        <v>18</v>
      </c>
      <c r="B974" s="1" t="s">
        <v>117</v>
      </c>
      <c r="C974" s="4">
        <v>26</v>
      </c>
      <c r="D974" s="8">
        <v>1.23</v>
      </c>
      <c r="E974" s="4">
        <v>16</v>
      </c>
      <c r="F974" s="8">
        <v>1.34</v>
      </c>
      <c r="G974" s="4">
        <v>10</v>
      </c>
      <c r="H974" s="8">
        <v>1.1000000000000001</v>
      </c>
      <c r="I974" s="4">
        <v>0</v>
      </c>
    </row>
    <row r="975" spans="1:9" x14ac:dyDescent="0.15">
      <c r="A975" s="2">
        <v>19</v>
      </c>
      <c r="B975" s="1" t="s">
        <v>90</v>
      </c>
      <c r="C975" s="4">
        <v>21</v>
      </c>
      <c r="D975" s="8">
        <v>1</v>
      </c>
      <c r="E975" s="4">
        <v>2</v>
      </c>
      <c r="F975" s="8">
        <v>0.17</v>
      </c>
      <c r="G975" s="4">
        <v>19</v>
      </c>
      <c r="H975" s="8">
        <v>2.09</v>
      </c>
      <c r="I975" s="4">
        <v>0</v>
      </c>
    </row>
    <row r="976" spans="1:9" x14ac:dyDescent="0.15">
      <c r="A976" s="2">
        <v>19</v>
      </c>
      <c r="B976" s="1" t="s">
        <v>105</v>
      </c>
      <c r="C976" s="4">
        <v>21</v>
      </c>
      <c r="D976" s="8">
        <v>1</v>
      </c>
      <c r="E976" s="4">
        <v>4</v>
      </c>
      <c r="F976" s="8">
        <v>0.34</v>
      </c>
      <c r="G976" s="4">
        <v>17</v>
      </c>
      <c r="H976" s="8">
        <v>1.87</v>
      </c>
      <c r="I976" s="4">
        <v>0</v>
      </c>
    </row>
    <row r="977" spans="1:9" x14ac:dyDescent="0.15">
      <c r="A977" s="1"/>
      <c r="C977" s="4"/>
      <c r="D977" s="8"/>
      <c r="E977" s="4"/>
      <c r="F977" s="8"/>
      <c r="G977" s="4"/>
      <c r="H977" s="8"/>
      <c r="I977" s="4"/>
    </row>
    <row r="978" spans="1:9" x14ac:dyDescent="0.15">
      <c r="A978" s="1" t="s">
        <v>44</v>
      </c>
      <c r="C978" s="4"/>
      <c r="D978" s="8"/>
      <c r="E978" s="4"/>
      <c r="F978" s="8"/>
      <c r="G978" s="4"/>
      <c r="H978" s="8"/>
      <c r="I978" s="4"/>
    </row>
    <row r="979" spans="1:9" x14ac:dyDescent="0.15">
      <c r="A979" s="2">
        <v>1</v>
      </c>
      <c r="B979" s="1" t="s">
        <v>96</v>
      </c>
      <c r="C979" s="4">
        <v>353</v>
      </c>
      <c r="D979" s="8">
        <v>14.98</v>
      </c>
      <c r="E979" s="4">
        <v>230</v>
      </c>
      <c r="F979" s="8">
        <v>20.350000000000001</v>
      </c>
      <c r="G979" s="4">
        <v>123</v>
      </c>
      <c r="H979" s="8">
        <v>10.050000000000001</v>
      </c>
      <c r="I979" s="4">
        <v>0</v>
      </c>
    </row>
    <row r="980" spans="1:9" x14ac:dyDescent="0.15">
      <c r="A980" s="2">
        <v>2</v>
      </c>
      <c r="B980" s="1" t="s">
        <v>99</v>
      </c>
      <c r="C980" s="4">
        <v>238</v>
      </c>
      <c r="D980" s="8">
        <v>10.1</v>
      </c>
      <c r="E980" s="4">
        <v>198</v>
      </c>
      <c r="F980" s="8">
        <v>17.52</v>
      </c>
      <c r="G980" s="4">
        <v>40</v>
      </c>
      <c r="H980" s="8">
        <v>3.27</v>
      </c>
      <c r="I980" s="4">
        <v>0</v>
      </c>
    </row>
    <row r="981" spans="1:9" x14ac:dyDescent="0.15">
      <c r="A981" s="2">
        <v>3</v>
      </c>
      <c r="B981" s="1" t="s">
        <v>100</v>
      </c>
      <c r="C981" s="4">
        <v>230</v>
      </c>
      <c r="D981" s="8">
        <v>9.76</v>
      </c>
      <c r="E981" s="4">
        <v>185</v>
      </c>
      <c r="F981" s="8">
        <v>16.37</v>
      </c>
      <c r="G981" s="4">
        <v>45</v>
      </c>
      <c r="H981" s="8">
        <v>3.68</v>
      </c>
      <c r="I981" s="4">
        <v>0</v>
      </c>
    </row>
    <row r="982" spans="1:9" x14ac:dyDescent="0.15">
      <c r="A982" s="2">
        <v>4</v>
      </c>
      <c r="B982" s="1" t="s">
        <v>85</v>
      </c>
      <c r="C982" s="4">
        <v>140</v>
      </c>
      <c r="D982" s="8">
        <v>5.94</v>
      </c>
      <c r="E982" s="4">
        <v>20</v>
      </c>
      <c r="F982" s="8">
        <v>1.77</v>
      </c>
      <c r="G982" s="4">
        <v>120</v>
      </c>
      <c r="H982" s="8">
        <v>9.8000000000000007</v>
      </c>
      <c r="I982" s="4">
        <v>0</v>
      </c>
    </row>
    <row r="983" spans="1:9" x14ac:dyDescent="0.15">
      <c r="A983" s="2">
        <v>5</v>
      </c>
      <c r="B983" s="1" t="s">
        <v>86</v>
      </c>
      <c r="C983" s="4">
        <v>111</v>
      </c>
      <c r="D983" s="8">
        <v>4.71</v>
      </c>
      <c r="E983" s="4">
        <v>36</v>
      </c>
      <c r="F983" s="8">
        <v>3.19</v>
      </c>
      <c r="G983" s="4">
        <v>75</v>
      </c>
      <c r="H983" s="8">
        <v>6.13</v>
      </c>
      <c r="I983" s="4">
        <v>0</v>
      </c>
    </row>
    <row r="984" spans="1:9" x14ac:dyDescent="0.15">
      <c r="A984" s="2">
        <v>5</v>
      </c>
      <c r="B984" s="1" t="s">
        <v>94</v>
      </c>
      <c r="C984" s="4">
        <v>111</v>
      </c>
      <c r="D984" s="8">
        <v>4.71</v>
      </c>
      <c r="E984" s="4">
        <v>48</v>
      </c>
      <c r="F984" s="8">
        <v>4.25</v>
      </c>
      <c r="G984" s="4">
        <v>63</v>
      </c>
      <c r="H984" s="8">
        <v>5.15</v>
      </c>
      <c r="I984" s="4">
        <v>0</v>
      </c>
    </row>
    <row r="985" spans="1:9" x14ac:dyDescent="0.15">
      <c r="A985" s="2">
        <v>5</v>
      </c>
      <c r="B985" s="1" t="s">
        <v>102</v>
      </c>
      <c r="C985" s="4">
        <v>111</v>
      </c>
      <c r="D985" s="8">
        <v>4.71</v>
      </c>
      <c r="E985" s="4">
        <v>85</v>
      </c>
      <c r="F985" s="8">
        <v>7.52</v>
      </c>
      <c r="G985" s="4">
        <v>26</v>
      </c>
      <c r="H985" s="8">
        <v>2.12</v>
      </c>
      <c r="I985" s="4">
        <v>0</v>
      </c>
    </row>
    <row r="986" spans="1:9" x14ac:dyDescent="0.15">
      <c r="A986" s="2">
        <v>8</v>
      </c>
      <c r="B986" s="1" t="s">
        <v>91</v>
      </c>
      <c r="C986" s="4">
        <v>93</v>
      </c>
      <c r="D986" s="8">
        <v>3.95</v>
      </c>
      <c r="E986" s="4">
        <v>22</v>
      </c>
      <c r="F986" s="8">
        <v>1.95</v>
      </c>
      <c r="G986" s="4">
        <v>71</v>
      </c>
      <c r="H986" s="8">
        <v>5.8</v>
      </c>
      <c r="I986" s="4">
        <v>0</v>
      </c>
    </row>
    <row r="987" spans="1:9" x14ac:dyDescent="0.15">
      <c r="A987" s="2">
        <v>9</v>
      </c>
      <c r="B987" s="1" t="s">
        <v>103</v>
      </c>
      <c r="C987" s="4">
        <v>87</v>
      </c>
      <c r="D987" s="8">
        <v>3.69</v>
      </c>
      <c r="E987" s="4">
        <v>75</v>
      </c>
      <c r="F987" s="8">
        <v>6.64</v>
      </c>
      <c r="G987" s="4">
        <v>12</v>
      </c>
      <c r="H987" s="8">
        <v>0.98</v>
      </c>
      <c r="I987" s="4">
        <v>0</v>
      </c>
    </row>
    <row r="988" spans="1:9" x14ac:dyDescent="0.15">
      <c r="A988" s="2">
        <v>10</v>
      </c>
      <c r="B988" s="1" t="s">
        <v>87</v>
      </c>
      <c r="C988" s="4">
        <v>86</v>
      </c>
      <c r="D988" s="8">
        <v>3.65</v>
      </c>
      <c r="E988" s="4">
        <v>7</v>
      </c>
      <c r="F988" s="8">
        <v>0.62</v>
      </c>
      <c r="G988" s="4">
        <v>79</v>
      </c>
      <c r="H988" s="8">
        <v>6.45</v>
      </c>
      <c r="I988" s="4">
        <v>0</v>
      </c>
    </row>
    <row r="989" spans="1:9" x14ac:dyDescent="0.15">
      <c r="A989" s="2">
        <v>11</v>
      </c>
      <c r="B989" s="1" t="s">
        <v>92</v>
      </c>
      <c r="C989" s="4">
        <v>78</v>
      </c>
      <c r="D989" s="8">
        <v>3.31</v>
      </c>
      <c r="E989" s="4">
        <v>38</v>
      </c>
      <c r="F989" s="8">
        <v>3.36</v>
      </c>
      <c r="G989" s="4">
        <v>40</v>
      </c>
      <c r="H989" s="8">
        <v>3.27</v>
      </c>
      <c r="I989" s="4">
        <v>0</v>
      </c>
    </row>
    <row r="990" spans="1:9" x14ac:dyDescent="0.15">
      <c r="A990" s="2">
        <v>12</v>
      </c>
      <c r="B990" s="1" t="s">
        <v>93</v>
      </c>
      <c r="C990" s="4">
        <v>64</v>
      </c>
      <c r="D990" s="8">
        <v>2.72</v>
      </c>
      <c r="E990" s="4">
        <v>21</v>
      </c>
      <c r="F990" s="8">
        <v>1.86</v>
      </c>
      <c r="G990" s="4">
        <v>43</v>
      </c>
      <c r="H990" s="8">
        <v>3.51</v>
      </c>
      <c r="I990" s="4">
        <v>0</v>
      </c>
    </row>
    <row r="991" spans="1:9" x14ac:dyDescent="0.15">
      <c r="A991" s="2">
        <v>13</v>
      </c>
      <c r="B991" s="1" t="s">
        <v>98</v>
      </c>
      <c r="C991" s="4">
        <v>58</v>
      </c>
      <c r="D991" s="8">
        <v>2.46</v>
      </c>
      <c r="E991" s="4">
        <v>19</v>
      </c>
      <c r="F991" s="8">
        <v>1.68</v>
      </c>
      <c r="G991" s="4">
        <v>39</v>
      </c>
      <c r="H991" s="8">
        <v>3.19</v>
      </c>
      <c r="I991" s="4">
        <v>0</v>
      </c>
    </row>
    <row r="992" spans="1:9" x14ac:dyDescent="0.15">
      <c r="A992" s="2">
        <v>14</v>
      </c>
      <c r="B992" s="1" t="s">
        <v>97</v>
      </c>
      <c r="C992" s="4">
        <v>51</v>
      </c>
      <c r="D992" s="8">
        <v>2.16</v>
      </c>
      <c r="E992" s="4">
        <v>32</v>
      </c>
      <c r="F992" s="8">
        <v>2.83</v>
      </c>
      <c r="G992" s="4">
        <v>19</v>
      </c>
      <c r="H992" s="8">
        <v>1.55</v>
      </c>
      <c r="I992" s="4">
        <v>0</v>
      </c>
    </row>
    <row r="993" spans="1:9" x14ac:dyDescent="0.15">
      <c r="A993" s="2">
        <v>15</v>
      </c>
      <c r="B993" s="1" t="s">
        <v>95</v>
      </c>
      <c r="C993" s="4">
        <v>49</v>
      </c>
      <c r="D993" s="8">
        <v>2.08</v>
      </c>
      <c r="E993" s="4">
        <v>4</v>
      </c>
      <c r="F993" s="8">
        <v>0.35</v>
      </c>
      <c r="G993" s="4">
        <v>45</v>
      </c>
      <c r="H993" s="8">
        <v>3.68</v>
      </c>
      <c r="I993" s="4">
        <v>0</v>
      </c>
    </row>
    <row r="994" spans="1:9" x14ac:dyDescent="0.15">
      <c r="A994" s="2">
        <v>16</v>
      </c>
      <c r="B994" s="1" t="s">
        <v>90</v>
      </c>
      <c r="C994" s="4">
        <v>37</v>
      </c>
      <c r="D994" s="8">
        <v>1.57</v>
      </c>
      <c r="E994" s="4">
        <v>4</v>
      </c>
      <c r="F994" s="8">
        <v>0.35</v>
      </c>
      <c r="G994" s="4">
        <v>33</v>
      </c>
      <c r="H994" s="8">
        <v>2.7</v>
      </c>
      <c r="I994" s="4">
        <v>0</v>
      </c>
    </row>
    <row r="995" spans="1:9" x14ac:dyDescent="0.15">
      <c r="A995" s="2">
        <v>17</v>
      </c>
      <c r="B995" s="1" t="s">
        <v>104</v>
      </c>
      <c r="C995" s="4">
        <v>31</v>
      </c>
      <c r="D995" s="8">
        <v>1.32</v>
      </c>
      <c r="E995" s="4">
        <v>5</v>
      </c>
      <c r="F995" s="8">
        <v>0.44</v>
      </c>
      <c r="G995" s="4">
        <v>25</v>
      </c>
      <c r="H995" s="8">
        <v>2.04</v>
      </c>
      <c r="I995" s="4">
        <v>1</v>
      </c>
    </row>
    <row r="996" spans="1:9" x14ac:dyDescent="0.15">
      <c r="A996" s="2">
        <v>18</v>
      </c>
      <c r="B996" s="1" t="s">
        <v>105</v>
      </c>
      <c r="C996" s="4">
        <v>27</v>
      </c>
      <c r="D996" s="8">
        <v>1.1499999999999999</v>
      </c>
      <c r="E996" s="4">
        <v>6</v>
      </c>
      <c r="F996" s="8">
        <v>0.53</v>
      </c>
      <c r="G996" s="4">
        <v>21</v>
      </c>
      <c r="H996" s="8">
        <v>1.72</v>
      </c>
      <c r="I996" s="4">
        <v>0</v>
      </c>
    </row>
    <row r="997" spans="1:9" x14ac:dyDescent="0.15">
      <c r="A997" s="2">
        <v>18</v>
      </c>
      <c r="B997" s="1" t="s">
        <v>108</v>
      </c>
      <c r="C997" s="4">
        <v>27</v>
      </c>
      <c r="D997" s="8">
        <v>1.1499999999999999</v>
      </c>
      <c r="E997" s="4">
        <v>3</v>
      </c>
      <c r="F997" s="8">
        <v>0.27</v>
      </c>
      <c r="G997" s="4">
        <v>23</v>
      </c>
      <c r="H997" s="8">
        <v>1.88</v>
      </c>
      <c r="I997" s="4">
        <v>1</v>
      </c>
    </row>
    <row r="998" spans="1:9" x14ac:dyDescent="0.15">
      <c r="A998" s="2">
        <v>20</v>
      </c>
      <c r="B998" s="1" t="s">
        <v>106</v>
      </c>
      <c r="C998" s="4">
        <v>26</v>
      </c>
      <c r="D998" s="8">
        <v>1.1000000000000001</v>
      </c>
      <c r="E998" s="4">
        <v>3</v>
      </c>
      <c r="F998" s="8">
        <v>0.27</v>
      </c>
      <c r="G998" s="4">
        <v>23</v>
      </c>
      <c r="H998" s="8">
        <v>1.88</v>
      </c>
      <c r="I998" s="4">
        <v>0</v>
      </c>
    </row>
    <row r="999" spans="1:9" x14ac:dyDescent="0.15">
      <c r="A999" s="1"/>
      <c r="C999" s="4"/>
      <c r="D999" s="8"/>
      <c r="E999" s="4"/>
      <c r="F999" s="8"/>
      <c r="G999" s="4"/>
      <c r="H999" s="8"/>
      <c r="I999" s="4"/>
    </row>
    <row r="1000" spans="1:9" x14ac:dyDescent="0.15">
      <c r="A1000" s="1" t="s">
        <v>45</v>
      </c>
      <c r="C1000" s="4"/>
      <c r="D1000" s="8"/>
      <c r="E1000" s="4"/>
      <c r="F1000" s="8"/>
      <c r="G1000" s="4"/>
      <c r="H1000" s="8"/>
      <c r="I1000" s="4"/>
    </row>
    <row r="1001" spans="1:9" x14ac:dyDescent="0.15">
      <c r="A1001" s="2">
        <v>1</v>
      </c>
      <c r="B1001" s="1" t="s">
        <v>96</v>
      </c>
      <c r="C1001" s="4">
        <v>305</v>
      </c>
      <c r="D1001" s="8">
        <v>15.23</v>
      </c>
      <c r="E1001" s="4">
        <v>220</v>
      </c>
      <c r="F1001" s="8">
        <v>20.83</v>
      </c>
      <c r="G1001" s="4">
        <v>84</v>
      </c>
      <c r="H1001" s="8">
        <v>8.9</v>
      </c>
      <c r="I1001" s="4">
        <v>1</v>
      </c>
    </row>
    <row r="1002" spans="1:9" x14ac:dyDescent="0.15">
      <c r="A1002" s="2">
        <v>2</v>
      </c>
      <c r="B1002" s="1" t="s">
        <v>99</v>
      </c>
      <c r="C1002" s="4">
        <v>225</v>
      </c>
      <c r="D1002" s="8">
        <v>11.24</v>
      </c>
      <c r="E1002" s="4">
        <v>200</v>
      </c>
      <c r="F1002" s="8">
        <v>18.940000000000001</v>
      </c>
      <c r="G1002" s="4">
        <v>24</v>
      </c>
      <c r="H1002" s="8">
        <v>2.54</v>
      </c>
      <c r="I1002" s="4">
        <v>1</v>
      </c>
    </row>
    <row r="1003" spans="1:9" x14ac:dyDescent="0.15">
      <c r="A1003" s="2">
        <v>3</v>
      </c>
      <c r="B1003" s="1" t="s">
        <v>100</v>
      </c>
      <c r="C1003" s="4">
        <v>218</v>
      </c>
      <c r="D1003" s="8">
        <v>10.89</v>
      </c>
      <c r="E1003" s="4">
        <v>181</v>
      </c>
      <c r="F1003" s="8">
        <v>17.14</v>
      </c>
      <c r="G1003" s="4">
        <v>37</v>
      </c>
      <c r="H1003" s="8">
        <v>3.92</v>
      </c>
      <c r="I1003" s="4">
        <v>0</v>
      </c>
    </row>
    <row r="1004" spans="1:9" x14ac:dyDescent="0.15">
      <c r="A1004" s="2">
        <v>4</v>
      </c>
      <c r="B1004" s="1" t="s">
        <v>86</v>
      </c>
      <c r="C1004" s="4">
        <v>119</v>
      </c>
      <c r="D1004" s="8">
        <v>5.94</v>
      </c>
      <c r="E1004" s="4">
        <v>35</v>
      </c>
      <c r="F1004" s="8">
        <v>3.31</v>
      </c>
      <c r="G1004" s="4">
        <v>84</v>
      </c>
      <c r="H1004" s="8">
        <v>8.9</v>
      </c>
      <c r="I1004" s="4">
        <v>0</v>
      </c>
    </row>
    <row r="1005" spans="1:9" x14ac:dyDescent="0.15">
      <c r="A1005" s="2">
        <v>5</v>
      </c>
      <c r="B1005" s="1" t="s">
        <v>85</v>
      </c>
      <c r="C1005" s="4">
        <v>118</v>
      </c>
      <c r="D1005" s="8">
        <v>5.89</v>
      </c>
      <c r="E1005" s="4">
        <v>26</v>
      </c>
      <c r="F1005" s="8">
        <v>2.46</v>
      </c>
      <c r="G1005" s="4">
        <v>92</v>
      </c>
      <c r="H1005" s="8">
        <v>9.75</v>
      </c>
      <c r="I1005" s="4">
        <v>0</v>
      </c>
    </row>
    <row r="1006" spans="1:9" x14ac:dyDescent="0.15">
      <c r="A1006" s="2">
        <v>6</v>
      </c>
      <c r="B1006" s="1" t="s">
        <v>94</v>
      </c>
      <c r="C1006" s="4">
        <v>102</v>
      </c>
      <c r="D1006" s="8">
        <v>5.09</v>
      </c>
      <c r="E1006" s="4">
        <v>46</v>
      </c>
      <c r="F1006" s="8">
        <v>4.3600000000000003</v>
      </c>
      <c r="G1006" s="4">
        <v>56</v>
      </c>
      <c r="H1006" s="8">
        <v>5.93</v>
      </c>
      <c r="I1006" s="4">
        <v>0</v>
      </c>
    </row>
    <row r="1007" spans="1:9" x14ac:dyDescent="0.15">
      <c r="A1007" s="2">
        <v>7</v>
      </c>
      <c r="B1007" s="1" t="s">
        <v>92</v>
      </c>
      <c r="C1007" s="4">
        <v>91</v>
      </c>
      <c r="D1007" s="8">
        <v>4.55</v>
      </c>
      <c r="E1007" s="4">
        <v>67</v>
      </c>
      <c r="F1007" s="8">
        <v>6.34</v>
      </c>
      <c r="G1007" s="4">
        <v>24</v>
      </c>
      <c r="H1007" s="8">
        <v>2.54</v>
      </c>
      <c r="I1007" s="4">
        <v>0</v>
      </c>
    </row>
    <row r="1008" spans="1:9" x14ac:dyDescent="0.15">
      <c r="A1008" s="2">
        <v>8</v>
      </c>
      <c r="B1008" s="1" t="s">
        <v>87</v>
      </c>
      <c r="C1008" s="4">
        <v>89</v>
      </c>
      <c r="D1008" s="8">
        <v>4.45</v>
      </c>
      <c r="E1008" s="4">
        <v>16</v>
      </c>
      <c r="F1008" s="8">
        <v>1.52</v>
      </c>
      <c r="G1008" s="4">
        <v>73</v>
      </c>
      <c r="H1008" s="8">
        <v>7.73</v>
      </c>
      <c r="I1008" s="4">
        <v>0</v>
      </c>
    </row>
    <row r="1009" spans="1:9" x14ac:dyDescent="0.15">
      <c r="A1009" s="2">
        <v>9</v>
      </c>
      <c r="B1009" s="1" t="s">
        <v>102</v>
      </c>
      <c r="C1009" s="4">
        <v>71</v>
      </c>
      <c r="D1009" s="8">
        <v>3.55</v>
      </c>
      <c r="E1009" s="4">
        <v>53</v>
      </c>
      <c r="F1009" s="8">
        <v>5.0199999999999996</v>
      </c>
      <c r="G1009" s="4">
        <v>18</v>
      </c>
      <c r="H1009" s="8">
        <v>1.91</v>
      </c>
      <c r="I1009" s="4">
        <v>0</v>
      </c>
    </row>
    <row r="1010" spans="1:9" x14ac:dyDescent="0.15">
      <c r="A1010" s="2">
        <v>10</v>
      </c>
      <c r="B1010" s="1" t="s">
        <v>103</v>
      </c>
      <c r="C1010" s="4">
        <v>69</v>
      </c>
      <c r="D1010" s="8">
        <v>3.45</v>
      </c>
      <c r="E1010" s="4">
        <v>59</v>
      </c>
      <c r="F1010" s="8">
        <v>5.59</v>
      </c>
      <c r="G1010" s="4">
        <v>10</v>
      </c>
      <c r="H1010" s="8">
        <v>1.06</v>
      </c>
      <c r="I1010" s="4">
        <v>0</v>
      </c>
    </row>
    <row r="1011" spans="1:9" x14ac:dyDescent="0.15">
      <c r="A1011" s="2">
        <v>11</v>
      </c>
      <c r="B1011" s="1" t="s">
        <v>93</v>
      </c>
      <c r="C1011" s="4">
        <v>49</v>
      </c>
      <c r="D1011" s="8">
        <v>2.4500000000000002</v>
      </c>
      <c r="E1011" s="4">
        <v>22</v>
      </c>
      <c r="F1011" s="8">
        <v>2.08</v>
      </c>
      <c r="G1011" s="4">
        <v>27</v>
      </c>
      <c r="H1011" s="8">
        <v>2.86</v>
      </c>
      <c r="I1011" s="4">
        <v>0</v>
      </c>
    </row>
    <row r="1012" spans="1:9" x14ac:dyDescent="0.15">
      <c r="A1012" s="2">
        <v>12</v>
      </c>
      <c r="B1012" s="1" t="s">
        <v>98</v>
      </c>
      <c r="C1012" s="4">
        <v>44</v>
      </c>
      <c r="D1012" s="8">
        <v>2.2000000000000002</v>
      </c>
      <c r="E1012" s="4">
        <v>15</v>
      </c>
      <c r="F1012" s="8">
        <v>1.42</v>
      </c>
      <c r="G1012" s="4">
        <v>29</v>
      </c>
      <c r="H1012" s="8">
        <v>3.07</v>
      </c>
      <c r="I1012" s="4">
        <v>0</v>
      </c>
    </row>
    <row r="1013" spans="1:9" x14ac:dyDescent="0.15">
      <c r="A1013" s="2">
        <v>13</v>
      </c>
      <c r="B1013" s="1" t="s">
        <v>97</v>
      </c>
      <c r="C1013" s="4">
        <v>40</v>
      </c>
      <c r="D1013" s="8">
        <v>2</v>
      </c>
      <c r="E1013" s="4">
        <v>25</v>
      </c>
      <c r="F1013" s="8">
        <v>2.37</v>
      </c>
      <c r="G1013" s="4">
        <v>15</v>
      </c>
      <c r="H1013" s="8">
        <v>1.59</v>
      </c>
      <c r="I1013" s="4">
        <v>0</v>
      </c>
    </row>
    <row r="1014" spans="1:9" x14ac:dyDescent="0.15">
      <c r="A1014" s="2">
        <v>14</v>
      </c>
      <c r="B1014" s="1" t="s">
        <v>95</v>
      </c>
      <c r="C1014" s="4">
        <v>35</v>
      </c>
      <c r="D1014" s="8">
        <v>1.75</v>
      </c>
      <c r="E1014" s="4">
        <v>2</v>
      </c>
      <c r="F1014" s="8">
        <v>0.19</v>
      </c>
      <c r="G1014" s="4">
        <v>33</v>
      </c>
      <c r="H1014" s="8">
        <v>3.5</v>
      </c>
      <c r="I1014" s="4">
        <v>0</v>
      </c>
    </row>
    <row r="1015" spans="1:9" x14ac:dyDescent="0.15">
      <c r="A1015" s="2">
        <v>15</v>
      </c>
      <c r="B1015" s="1" t="s">
        <v>90</v>
      </c>
      <c r="C1015" s="4">
        <v>28</v>
      </c>
      <c r="D1015" s="8">
        <v>1.4</v>
      </c>
      <c r="E1015" s="4">
        <v>0</v>
      </c>
      <c r="F1015" s="8">
        <v>0</v>
      </c>
      <c r="G1015" s="4">
        <v>28</v>
      </c>
      <c r="H1015" s="8">
        <v>2.97</v>
      </c>
      <c r="I1015" s="4">
        <v>0</v>
      </c>
    </row>
    <row r="1016" spans="1:9" x14ac:dyDescent="0.15">
      <c r="A1016" s="2">
        <v>16</v>
      </c>
      <c r="B1016" s="1" t="s">
        <v>91</v>
      </c>
      <c r="C1016" s="4">
        <v>25</v>
      </c>
      <c r="D1016" s="8">
        <v>1.25</v>
      </c>
      <c r="E1016" s="4">
        <v>14</v>
      </c>
      <c r="F1016" s="8">
        <v>1.33</v>
      </c>
      <c r="G1016" s="4">
        <v>11</v>
      </c>
      <c r="H1016" s="8">
        <v>1.17</v>
      </c>
      <c r="I1016" s="4">
        <v>0</v>
      </c>
    </row>
    <row r="1017" spans="1:9" x14ac:dyDescent="0.15">
      <c r="A1017" s="2">
        <v>17</v>
      </c>
      <c r="B1017" s="1" t="s">
        <v>89</v>
      </c>
      <c r="C1017" s="4">
        <v>23</v>
      </c>
      <c r="D1017" s="8">
        <v>1.1499999999999999</v>
      </c>
      <c r="E1017" s="4">
        <v>2</v>
      </c>
      <c r="F1017" s="8">
        <v>0.19</v>
      </c>
      <c r="G1017" s="4">
        <v>21</v>
      </c>
      <c r="H1017" s="8">
        <v>2.2200000000000002</v>
      </c>
      <c r="I1017" s="4">
        <v>0</v>
      </c>
    </row>
    <row r="1018" spans="1:9" x14ac:dyDescent="0.15">
      <c r="A1018" s="2">
        <v>18</v>
      </c>
      <c r="B1018" s="1" t="s">
        <v>117</v>
      </c>
      <c r="C1018" s="4">
        <v>22</v>
      </c>
      <c r="D1018" s="8">
        <v>1.1000000000000001</v>
      </c>
      <c r="E1018" s="4">
        <v>8</v>
      </c>
      <c r="F1018" s="8">
        <v>0.76</v>
      </c>
      <c r="G1018" s="4">
        <v>14</v>
      </c>
      <c r="H1018" s="8">
        <v>1.48</v>
      </c>
      <c r="I1018" s="4">
        <v>0</v>
      </c>
    </row>
    <row r="1019" spans="1:9" x14ac:dyDescent="0.15">
      <c r="A1019" s="2">
        <v>19</v>
      </c>
      <c r="B1019" s="1" t="s">
        <v>88</v>
      </c>
      <c r="C1019" s="4">
        <v>20</v>
      </c>
      <c r="D1019" s="8">
        <v>1</v>
      </c>
      <c r="E1019" s="4">
        <v>2</v>
      </c>
      <c r="F1019" s="8">
        <v>0.19</v>
      </c>
      <c r="G1019" s="4">
        <v>18</v>
      </c>
      <c r="H1019" s="8">
        <v>1.91</v>
      </c>
      <c r="I1019" s="4">
        <v>0</v>
      </c>
    </row>
    <row r="1020" spans="1:9" x14ac:dyDescent="0.15">
      <c r="A1020" s="2">
        <v>19</v>
      </c>
      <c r="B1020" s="1" t="s">
        <v>106</v>
      </c>
      <c r="C1020" s="4">
        <v>20</v>
      </c>
      <c r="D1020" s="8">
        <v>1</v>
      </c>
      <c r="E1020" s="4">
        <v>3</v>
      </c>
      <c r="F1020" s="8">
        <v>0.28000000000000003</v>
      </c>
      <c r="G1020" s="4">
        <v>17</v>
      </c>
      <c r="H1020" s="8">
        <v>1.8</v>
      </c>
      <c r="I1020" s="4">
        <v>0</v>
      </c>
    </row>
    <row r="1021" spans="1:9" x14ac:dyDescent="0.15">
      <c r="A1021" s="2">
        <v>19</v>
      </c>
      <c r="B1021" s="1" t="s">
        <v>105</v>
      </c>
      <c r="C1021" s="4">
        <v>20</v>
      </c>
      <c r="D1021" s="8">
        <v>1</v>
      </c>
      <c r="E1021" s="4">
        <v>2</v>
      </c>
      <c r="F1021" s="8">
        <v>0.19</v>
      </c>
      <c r="G1021" s="4">
        <v>18</v>
      </c>
      <c r="H1021" s="8">
        <v>1.91</v>
      </c>
      <c r="I1021" s="4">
        <v>0</v>
      </c>
    </row>
    <row r="1022" spans="1:9" x14ac:dyDescent="0.15">
      <c r="A1022" s="2">
        <v>19</v>
      </c>
      <c r="B1022" s="1" t="s">
        <v>104</v>
      </c>
      <c r="C1022" s="4">
        <v>20</v>
      </c>
      <c r="D1022" s="8">
        <v>1</v>
      </c>
      <c r="E1022" s="4">
        <v>1</v>
      </c>
      <c r="F1022" s="8">
        <v>0.09</v>
      </c>
      <c r="G1022" s="4">
        <v>19</v>
      </c>
      <c r="H1022" s="8">
        <v>2.0099999999999998</v>
      </c>
      <c r="I1022" s="4">
        <v>0</v>
      </c>
    </row>
    <row r="1023" spans="1:9" x14ac:dyDescent="0.15">
      <c r="A1023" s="1"/>
      <c r="C1023" s="4"/>
      <c r="D1023" s="8"/>
      <c r="E1023" s="4"/>
      <c r="F1023" s="8"/>
      <c r="G1023" s="4"/>
      <c r="H1023" s="8"/>
      <c r="I1023" s="4"/>
    </row>
    <row r="1024" spans="1:9" x14ac:dyDescent="0.15">
      <c r="A1024" s="1" t="s">
        <v>46</v>
      </c>
      <c r="C1024" s="4"/>
      <c r="D1024" s="8"/>
      <c r="E1024" s="4"/>
      <c r="F1024" s="8"/>
      <c r="G1024" s="4"/>
      <c r="H1024" s="8"/>
      <c r="I1024" s="4"/>
    </row>
    <row r="1025" spans="1:9" x14ac:dyDescent="0.15">
      <c r="A1025" s="2">
        <v>1</v>
      </c>
      <c r="B1025" s="1" t="s">
        <v>96</v>
      </c>
      <c r="C1025" s="4">
        <v>204</v>
      </c>
      <c r="D1025" s="8">
        <v>21.63</v>
      </c>
      <c r="E1025" s="4">
        <v>184</v>
      </c>
      <c r="F1025" s="8">
        <v>31.35</v>
      </c>
      <c r="G1025" s="4">
        <v>20</v>
      </c>
      <c r="H1025" s="8">
        <v>5.63</v>
      </c>
      <c r="I1025" s="4">
        <v>0</v>
      </c>
    </row>
    <row r="1026" spans="1:9" x14ac:dyDescent="0.15">
      <c r="A1026" s="2">
        <v>2</v>
      </c>
      <c r="B1026" s="1" t="s">
        <v>100</v>
      </c>
      <c r="C1026" s="4">
        <v>96</v>
      </c>
      <c r="D1026" s="8">
        <v>10.18</v>
      </c>
      <c r="E1026" s="4">
        <v>92</v>
      </c>
      <c r="F1026" s="8">
        <v>15.67</v>
      </c>
      <c r="G1026" s="4">
        <v>4</v>
      </c>
      <c r="H1026" s="8">
        <v>1.1299999999999999</v>
      </c>
      <c r="I1026" s="4">
        <v>0</v>
      </c>
    </row>
    <row r="1027" spans="1:9" x14ac:dyDescent="0.15">
      <c r="A1027" s="2">
        <v>3</v>
      </c>
      <c r="B1027" s="1" t="s">
        <v>85</v>
      </c>
      <c r="C1027" s="4">
        <v>93</v>
      </c>
      <c r="D1027" s="8">
        <v>9.86</v>
      </c>
      <c r="E1027" s="4">
        <v>25</v>
      </c>
      <c r="F1027" s="8">
        <v>4.26</v>
      </c>
      <c r="G1027" s="4">
        <v>68</v>
      </c>
      <c r="H1027" s="8">
        <v>19.149999999999999</v>
      </c>
      <c r="I1027" s="4">
        <v>0</v>
      </c>
    </row>
    <row r="1028" spans="1:9" x14ac:dyDescent="0.15">
      <c r="A1028" s="2">
        <v>4</v>
      </c>
      <c r="B1028" s="1" t="s">
        <v>99</v>
      </c>
      <c r="C1028" s="4">
        <v>80</v>
      </c>
      <c r="D1028" s="8">
        <v>8.48</v>
      </c>
      <c r="E1028" s="4">
        <v>76</v>
      </c>
      <c r="F1028" s="8">
        <v>12.95</v>
      </c>
      <c r="G1028" s="4">
        <v>4</v>
      </c>
      <c r="H1028" s="8">
        <v>1.1299999999999999</v>
      </c>
      <c r="I1028" s="4">
        <v>0</v>
      </c>
    </row>
    <row r="1029" spans="1:9" x14ac:dyDescent="0.15">
      <c r="A1029" s="2">
        <v>5</v>
      </c>
      <c r="B1029" s="1" t="s">
        <v>86</v>
      </c>
      <c r="C1029" s="4">
        <v>57</v>
      </c>
      <c r="D1029" s="8">
        <v>6.04</v>
      </c>
      <c r="E1029" s="4">
        <v>26</v>
      </c>
      <c r="F1029" s="8">
        <v>4.43</v>
      </c>
      <c r="G1029" s="4">
        <v>31</v>
      </c>
      <c r="H1029" s="8">
        <v>8.73</v>
      </c>
      <c r="I1029" s="4">
        <v>0</v>
      </c>
    </row>
    <row r="1030" spans="1:9" x14ac:dyDescent="0.15">
      <c r="A1030" s="2">
        <v>6</v>
      </c>
      <c r="B1030" s="1" t="s">
        <v>92</v>
      </c>
      <c r="C1030" s="4">
        <v>53</v>
      </c>
      <c r="D1030" s="8">
        <v>5.62</v>
      </c>
      <c r="E1030" s="4">
        <v>28</v>
      </c>
      <c r="F1030" s="8">
        <v>4.7699999999999996</v>
      </c>
      <c r="G1030" s="4">
        <v>25</v>
      </c>
      <c r="H1030" s="8">
        <v>7.04</v>
      </c>
      <c r="I1030" s="4">
        <v>0</v>
      </c>
    </row>
    <row r="1031" spans="1:9" x14ac:dyDescent="0.15">
      <c r="A1031" s="2">
        <v>7</v>
      </c>
      <c r="B1031" s="1" t="s">
        <v>87</v>
      </c>
      <c r="C1031" s="4">
        <v>52</v>
      </c>
      <c r="D1031" s="8">
        <v>5.51</v>
      </c>
      <c r="E1031" s="4">
        <v>12</v>
      </c>
      <c r="F1031" s="8">
        <v>2.04</v>
      </c>
      <c r="G1031" s="4">
        <v>40</v>
      </c>
      <c r="H1031" s="8">
        <v>11.27</v>
      </c>
      <c r="I1031" s="4">
        <v>0</v>
      </c>
    </row>
    <row r="1032" spans="1:9" x14ac:dyDescent="0.15">
      <c r="A1032" s="2">
        <v>8</v>
      </c>
      <c r="B1032" s="1" t="s">
        <v>102</v>
      </c>
      <c r="C1032" s="4">
        <v>36</v>
      </c>
      <c r="D1032" s="8">
        <v>3.82</v>
      </c>
      <c r="E1032" s="4">
        <v>24</v>
      </c>
      <c r="F1032" s="8">
        <v>4.09</v>
      </c>
      <c r="G1032" s="4">
        <v>12</v>
      </c>
      <c r="H1032" s="8">
        <v>3.38</v>
      </c>
      <c r="I1032" s="4">
        <v>0</v>
      </c>
    </row>
    <row r="1033" spans="1:9" x14ac:dyDescent="0.15">
      <c r="A1033" s="2">
        <v>9</v>
      </c>
      <c r="B1033" s="1" t="s">
        <v>94</v>
      </c>
      <c r="C1033" s="4">
        <v>35</v>
      </c>
      <c r="D1033" s="8">
        <v>3.71</v>
      </c>
      <c r="E1033" s="4">
        <v>19</v>
      </c>
      <c r="F1033" s="8">
        <v>3.24</v>
      </c>
      <c r="G1033" s="4">
        <v>16</v>
      </c>
      <c r="H1033" s="8">
        <v>4.51</v>
      </c>
      <c r="I1033" s="4">
        <v>0</v>
      </c>
    </row>
    <row r="1034" spans="1:9" x14ac:dyDescent="0.15">
      <c r="A1034" s="2">
        <v>10</v>
      </c>
      <c r="B1034" s="1" t="s">
        <v>103</v>
      </c>
      <c r="C1034" s="4">
        <v>26</v>
      </c>
      <c r="D1034" s="8">
        <v>2.76</v>
      </c>
      <c r="E1034" s="4">
        <v>23</v>
      </c>
      <c r="F1034" s="8">
        <v>3.92</v>
      </c>
      <c r="G1034" s="4">
        <v>3</v>
      </c>
      <c r="H1034" s="8">
        <v>0.85</v>
      </c>
      <c r="I1034" s="4">
        <v>0</v>
      </c>
    </row>
    <row r="1035" spans="1:9" x14ac:dyDescent="0.15">
      <c r="A1035" s="2">
        <v>11</v>
      </c>
      <c r="B1035" s="1" t="s">
        <v>93</v>
      </c>
      <c r="C1035" s="4">
        <v>21</v>
      </c>
      <c r="D1035" s="8">
        <v>2.23</v>
      </c>
      <c r="E1035" s="4">
        <v>8</v>
      </c>
      <c r="F1035" s="8">
        <v>1.36</v>
      </c>
      <c r="G1035" s="4">
        <v>13</v>
      </c>
      <c r="H1035" s="8">
        <v>3.66</v>
      </c>
      <c r="I1035" s="4">
        <v>0</v>
      </c>
    </row>
    <row r="1036" spans="1:9" x14ac:dyDescent="0.15">
      <c r="A1036" s="2">
        <v>12</v>
      </c>
      <c r="B1036" s="1" t="s">
        <v>91</v>
      </c>
      <c r="C1036" s="4">
        <v>14</v>
      </c>
      <c r="D1036" s="8">
        <v>1.48</v>
      </c>
      <c r="E1036" s="4">
        <v>10</v>
      </c>
      <c r="F1036" s="8">
        <v>1.7</v>
      </c>
      <c r="G1036" s="4">
        <v>4</v>
      </c>
      <c r="H1036" s="8">
        <v>1.1299999999999999</v>
      </c>
      <c r="I1036" s="4">
        <v>0</v>
      </c>
    </row>
    <row r="1037" spans="1:9" x14ac:dyDescent="0.15">
      <c r="A1037" s="2">
        <v>12</v>
      </c>
      <c r="B1037" s="1" t="s">
        <v>97</v>
      </c>
      <c r="C1037" s="4">
        <v>14</v>
      </c>
      <c r="D1037" s="8">
        <v>1.48</v>
      </c>
      <c r="E1037" s="4">
        <v>9</v>
      </c>
      <c r="F1037" s="8">
        <v>1.53</v>
      </c>
      <c r="G1037" s="4">
        <v>5</v>
      </c>
      <c r="H1037" s="8">
        <v>1.41</v>
      </c>
      <c r="I1037" s="4">
        <v>0</v>
      </c>
    </row>
    <row r="1038" spans="1:9" x14ac:dyDescent="0.15">
      <c r="A1038" s="2">
        <v>12</v>
      </c>
      <c r="B1038" s="1" t="s">
        <v>98</v>
      </c>
      <c r="C1038" s="4">
        <v>14</v>
      </c>
      <c r="D1038" s="8">
        <v>1.48</v>
      </c>
      <c r="E1038" s="4">
        <v>5</v>
      </c>
      <c r="F1038" s="8">
        <v>0.85</v>
      </c>
      <c r="G1038" s="4">
        <v>9</v>
      </c>
      <c r="H1038" s="8">
        <v>2.54</v>
      </c>
      <c r="I1038" s="4">
        <v>0</v>
      </c>
    </row>
    <row r="1039" spans="1:9" x14ac:dyDescent="0.15">
      <c r="A1039" s="2">
        <v>15</v>
      </c>
      <c r="B1039" s="1" t="s">
        <v>88</v>
      </c>
      <c r="C1039" s="4">
        <v>8</v>
      </c>
      <c r="D1039" s="8">
        <v>0.85</v>
      </c>
      <c r="E1039" s="4">
        <v>3</v>
      </c>
      <c r="F1039" s="8">
        <v>0.51</v>
      </c>
      <c r="G1039" s="4">
        <v>5</v>
      </c>
      <c r="H1039" s="8">
        <v>1.41</v>
      </c>
      <c r="I1039" s="4">
        <v>0</v>
      </c>
    </row>
    <row r="1040" spans="1:9" x14ac:dyDescent="0.15">
      <c r="A1040" s="2">
        <v>15</v>
      </c>
      <c r="B1040" s="1" t="s">
        <v>106</v>
      </c>
      <c r="C1040" s="4">
        <v>8</v>
      </c>
      <c r="D1040" s="8">
        <v>0.85</v>
      </c>
      <c r="E1040" s="4">
        <v>2</v>
      </c>
      <c r="F1040" s="8">
        <v>0.34</v>
      </c>
      <c r="G1040" s="4">
        <v>6</v>
      </c>
      <c r="H1040" s="8">
        <v>1.69</v>
      </c>
      <c r="I1040" s="4">
        <v>0</v>
      </c>
    </row>
    <row r="1041" spans="1:9" x14ac:dyDescent="0.15">
      <c r="A1041" s="2">
        <v>15</v>
      </c>
      <c r="B1041" s="1" t="s">
        <v>105</v>
      </c>
      <c r="C1041" s="4">
        <v>8</v>
      </c>
      <c r="D1041" s="8">
        <v>0.85</v>
      </c>
      <c r="E1041" s="4">
        <v>0</v>
      </c>
      <c r="F1041" s="8">
        <v>0</v>
      </c>
      <c r="G1041" s="4">
        <v>8</v>
      </c>
      <c r="H1041" s="8">
        <v>2.25</v>
      </c>
      <c r="I1041" s="4">
        <v>0</v>
      </c>
    </row>
    <row r="1042" spans="1:9" x14ac:dyDescent="0.15">
      <c r="A1042" s="2">
        <v>15</v>
      </c>
      <c r="B1042" s="1" t="s">
        <v>108</v>
      </c>
      <c r="C1042" s="4">
        <v>8</v>
      </c>
      <c r="D1042" s="8">
        <v>0.85</v>
      </c>
      <c r="E1042" s="4">
        <v>1</v>
      </c>
      <c r="F1042" s="8">
        <v>0.17</v>
      </c>
      <c r="G1042" s="4">
        <v>6</v>
      </c>
      <c r="H1042" s="8">
        <v>1.69</v>
      </c>
      <c r="I1042" s="4">
        <v>1</v>
      </c>
    </row>
    <row r="1043" spans="1:9" x14ac:dyDescent="0.15">
      <c r="A1043" s="2">
        <v>19</v>
      </c>
      <c r="B1043" s="1" t="s">
        <v>122</v>
      </c>
      <c r="C1043" s="4">
        <v>7</v>
      </c>
      <c r="D1043" s="8">
        <v>0.74</v>
      </c>
      <c r="E1043" s="4">
        <v>3</v>
      </c>
      <c r="F1043" s="8">
        <v>0.51</v>
      </c>
      <c r="G1043" s="4">
        <v>4</v>
      </c>
      <c r="H1043" s="8">
        <v>1.1299999999999999</v>
      </c>
      <c r="I1043" s="4">
        <v>0</v>
      </c>
    </row>
    <row r="1044" spans="1:9" x14ac:dyDescent="0.15">
      <c r="A1044" s="2">
        <v>20</v>
      </c>
      <c r="B1044" s="1" t="s">
        <v>101</v>
      </c>
      <c r="C1044" s="4">
        <v>6</v>
      </c>
      <c r="D1044" s="8">
        <v>0.64</v>
      </c>
      <c r="E1044" s="4">
        <v>2</v>
      </c>
      <c r="F1044" s="8">
        <v>0.34</v>
      </c>
      <c r="G1044" s="4">
        <v>4</v>
      </c>
      <c r="H1044" s="8">
        <v>1.1299999999999999</v>
      </c>
      <c r="I1044" s="4">
        <v>0</v>
      </c>
    </row>
    <row r="1045" spans="1:9" x14ac:dyDescent="0.15">
      <c r="A1045" s="2">
        <v>20</v>
      </c>
      <c r="B1045" s="1" t="s">
        <v>117</v>
      </c>
      <c r="C1045" s="4">
        <v>6</v>
      </c>
      <c r="D1045" s="8">
        <v>0.64</v>
      </c>
      <c r="E1045" s="4">
        <v>4</v>
      </c>
      <c r="F1045" s="8">
        <v>0.68</v>
      </c>
      <c r="G1045" s="4">
        <v>2</v>
      </c>
      <c r="H1045" s="8">
        <v>0.56000000000000005</v>
      </c>
      <c r="I1045" s="4">
        <v>0</v>
      </c>
    </row>
    <row r="1046" spans="1:9" x14ac:dyDescent="0.15">
      <c r="A1046" s="1"/>
      <c r="C1046" s="4"/>
      <c r="D1046" s="8"/>
      <c r="E1046" s="4"/>
      <c r="F1046" s="8"/>
      <c r="G1046" s="4"/>
      <c r="H1046" s="8"/>
      <c r="I1046" s="4"/>
    </row>
    <row r="1047" spans="1:9" x14ac:dyDescent="0.15">
      <c r="A1047" s="1" t="s">
        <v>47</v>
      </c>
      <c r="C1047" s="4"/>
      <c r="D1047" s="8"/>
      <c r="E1047" s="4"/>
      <c r="F1047" s="8"/>
      <c r="G1047" s="4"/>
      <c r="H1047" s="8"/>
      <c r="I1047" s="4"/>
    </row>
    <row r="1048" spans="1:9" x14ac:dyDescent="0.15">
      <c r="A1048" s="2">
        <v>1</v>
      </c>
      <c r="B1048" s="1" t="s">
        <v>96</v>
      </c>
      <c r="C1048" s="4">
        <v>376</v>
      </c>
      <c r="D1048" s="8">
        <v>20.58</v>
      </c>
      <c r="E1048" s="4">
        <v>309</v>
      </c>
      <c r="F1048" s="8">
        <v>35.89</v>
      </c>
      <c r="G1048" s="4">
        <v>67</v>
      </c>
      <c r="H1048" s="8">
        <v>6.94</v>
      </c>
      <c r="I1048" s="4">
        <v>0</v>
      </c>
    </row>
    <row r="1049" spans="1:9" x14ac:dyDescent="0.15">
      <c r="A1049" s="2">
        <v>2</v>
      </c>
      <c r="B1049" s="1" t="s">
        <v>100</v>
      </c>
      <c r="C1049" s="4">
        <v>130</v>
      </c>
      <c r="D1049" s="8">
        <v>7.12</v>
      </c>
      <c r="E1049" s="4">
        <v>118</v>
      </c>
      <c r="F1049" s="8">
        <v>13.7</v>
      </c>
      <c r="G1049" s="4">
        <v>12</v>
      </c>
      <c r="H1049" s="8">
        <v>1.24</v>
      </c>
      <c r="I1049" s="4">
        <v>0</v>
      </c>
    </row>
    <row r="1050" spans="1:9" x14ac:dyDescent="0.15">
      <c r="A1050" s="2">
        <v>3</v>
      </c>
      <c r="B1050" s="1" t="s">
        <v>85</v>
      </c>
      <c r="C1050" s="4">
        <v>115</v>
      </c>
      <c r="D1050" s="8">
        <v>6.29</v>
      </c>
      <c r="E1050" s="4">
        <v>26</v>
      </c>
      <c r="F1050" s="8">
        <v>3.02</v>
      </c>
      <c r="G1050" s="4">
        <v>89</v>
      </c>
      <c r="H1050" s="8">
        <v>9.2200000000000006</v>
      </c>
      <c r="I1050" s="4">
        <v>0</v>
      </c>
    </row>
    <row r="1051" spans="1:9" x14ac:dyDescent="0.15">
      <c r="A1051" s="2">
        <v>4</v>
      </c>
      <c r="B1051" s="1" t="s">
        <v>86</v>
      </c>
      <c r="C1051" s="4">
        <v>113</v>
      </c>
      <c r="D1051" s="8">
        <v>6.19</v>
      </c>
      <c r="E1051" s="4">
        <v>30</v>
      </c>
      <c r="F1051" s="8">
        <v>3.48</v>
      </c>
      <c r="G1051" s="4">
        <v>83</v>
      </c>
      <c r="H1051" s="8">
        <v>8.6</v>
      </c>
      <c r="I1051" s="4">
        <v>0</v>
      </c>
    </row>
    <row r="1052" spans="1:9" x14ac:dyDescent="0.15">
      <c r="A1052" s="2">
        <v>5</v>
      </c>
      <c r="B1052" s="1" t="s">
        <v>99</v>
      </c>
      <c r="C1052" s="4">
        <v>100</v>
      </c>
      <c r="D1052" s="8">
        <v>5.47</v>
      </c>
      <c r="E1052" s="4">
        <v>83</v>
      </c>
      <c r="F1052" s="8">
        <v>9.64</v>
      </c>
      <c r="G1052" s="4">
        <v>17</v>
      </c>
      <c r="H1052" s="8">
        <v>1.76</v>
      </c>
      <c r="I1052" s="4">
        <v>0</v>
      </c>
    </row>
    <row r="1053" spans="1:9" x14ac:dyDescent="0.15">
      <c r="A1053" s="2">
        <v>6</v>
      </c>
      <c r="B1053" s="1" t="s">
        <v>88</v>
      </c>
      <c r="C1053" s="4">
        <v>93</v>
      </c>
      <c r="D1053" s="8">
        <v>5.09</v>
      </c>
      <c r="E1053" s="4">
        <v>16</v>
      </c>
      <c r="F1053" s="8">
        <v>1.86</v>
      </c>
      <c r="G1053" s="4">
        <v>77</v>
      </c>
      <c r="H1053" s="8">
        <v>7.98</v>
      </c>
      <c r="I1053" s="4">
        <v>0</v>
      </c>
    </row>
    <row r="1054" spans="1:9" x14ac:dyDescent="0.15">
      <c r="A1054" s="2">
        <v>7</v>
      </c>
      <c r="B1054" s="1" t="s">
        <v>87</v>
      </c>
      <c r="C1054" s="4">
        <v>90</v>
      </c>
      <c r="D1054" s="8">
        <v>4.93</v>
      </c>
      <c r="E1054" s="4">
        <v>12</v>
      </c>
      <c r="F1054" s="8">
        <v>1.39</v>
      </c>
      <c r="G1054" s="4">
        <v>78</v>
      </c>
      <c r="H1054" s="8">
        <v>8.08</v>
      </c>
      <c r="I1054" s="4">
        <v>0</v>
      </c>
    </row>
    <row r="1055" spans="1:9" x14ac:dyDescent="0.15">
      <c r="A1055" s="2">
        <v>8</v>
      </c>
      <c r="B1055" s="1" t="s">
        <v>89</v>
      </c>
      <c r="C1055" s="4">
        <v>75</v>
      </c>
      <c r="D1055" s="8">
        <v>4.1100000000000003</v>
      </c>
      <c r="E1055" s="4">
        <v>17</v>
      </c>
      <c r="F1055" s="8">
        <v>1.97</v>
      </c>
      <c r="G1055" s="4">
        <v>58</v>
      </c>
      <c r="H1055" s="8">
        <v>6.01</v>
      </c>
      <c r="I1055" s="4">
        <v>0</v>
      </c>
    </row>
    <row r="1056" spans="1:9" x14ac:dyDescent="0.15">
      <c r="A1056" s="2">
        <v>9</v>
      </c>
      <c r="B1056" s="1" t="s">
        <v>92</v>
      </c>
      <c r="C1056" s="4">
        <v>57</v>
      </c>
      <c r="D1056" s="8">
        <v>3.12</v>
      </c>
      <c r="E1056" s="4">
        <v>36</v>
      </c>
      <c r="F1056" s="8">
        <v>4.18</v>
      </c>
      <c r="G1056" s="4">
        <v>21</v>
      </c>
      <c r="H1056" s="8">
        <v>2.1800000000000002</v>
      </c>
      <c r="I1056" s="4">
        <v>0</v>
      </c>
    </row>
    <row r="1057" spans="1:9" x14ac:dyDescent="0.15">
      <c r="A1057" s="2">
        <v>10</v>
      </c>
      <c r="B1057" s="1" t="s">
        <v>102</v>
      </c>
      <c r="C1057" s="4">
        <v>53</v>
      </c>
      <c r="D1057" s="8">
        <v>2.9</v>
      </c>
      <c r="E1057" s="4">
        <v>45</v>
      </c>
      <c r="F1057" s="8">
        <v>5.23</v>
      </c>
      <c r="G1057" s="4">
        <v>8</v>
      </c>
      <c r="H1057" s="8">
        <v>0.83</v>
      </c>
      <c r="I1057" s="4">
        <v>0</v>
      </c>
    </row>
    <row r="1058" spans="1:9" x14ac:dyDescent="0.15">
      <c r="A1058" s="2">
        <v>11</v>
      </c>
      <c r="B1058" s="1" t="s">
        <v>120</v>
      </c>
      <c r="C1058" s="4">
        <v>44</v>
      </c>
      <c r="D1058" s="8">
        <v>2.41</v>
      </c>
      <c r="E1058" s="4">
        <v>7</v>
      </c>
      <c r="F1058" s="8">
        <v>0.81</v>
      </c>
      <c r="G1058" s="4">
        <v>37</v>
      </c>
      <c r="H1058" s="8">
        <v>3.83</v>
      </c>
      <c r="I1058" s="4">
        <v>0</v>
      </c>
    </row>
    <row r="1059" spans="1:9" x14ac:dyDescent="0.15">
      <c r="A1059" s="2">
        <v>12</v>
      </c>
      <c r="B1059" s="1" t="s">
        <v>94</v>
      </c>
      <c r="C1059" s="4">
        <v>41</v>
      </c>
      <c r="D1059" s="8">
        <v>2.2400000000000002</v>
      </c>
      <c r="E1059" s="4">
        <v>18</v>
      </c>
      <c r="F1059" s="8">
        <v>2.09</v>
      </c>
      <c r="G1059" s="4">
        <v>23</v>
      </c>
      <c r="H1059" s="8">
        <v>2.38</v>
      </c>
      <c r="I1059" s="4">
        <v>0</v>
      </c>
    </row>
    <row r="1060" spans="1:9" x14ac:dyDescent="0.15">
      <c r="A1060" s="2">
        <v>13</v>
      </c>
      <c r="B1060" s="1" t="s">
        <v>117</v>
      </c>
      <c r="C1060" s="4">
        <v>37</v>
      </c>
      <c r="D1060" s="8">
        <v>2.0299999999999998</v>
      </c>
      <c r="E1060" s="4">
        <v>19</v>
      </c>
      <c r="F1060" s="8">
        <v>2.21</v>
      </c>
      <c r="G1060" s="4">
        <v>18</v>
      </c>
      <c r="H1060" s="8">
        <v>1.87</v>
      </c>
      <c r="I1060" s="4">
        <v>0</v>
      </c>
    </row>
    <row r="1061" spans="1:9" x14ac:dyDescent="0.15">
      <c r="A1061" s="2">
        <v>14</v>
      </c>
      <c r="B1061" s="1" t="s">
        <v>93</v>
      </c>
      <c r="C1061" s="4">
        <v>33</v>
      </c>
      <c r="D1061" s="8">
        <v>1.81</v>
      </c>
      <c r="E1061" s="4">
        <v>17</v>
      </c>
      <c r="F1061" s="8">
        <v>1.97</v>
      </c>
      <c r="G1061" s="4">
        <v>16</v>
      </c>
      <c r="H1061" s="8">
        <v>1.66</v>
      </c>
      <c r="I1061" s="4">
        <v>0</v>
      </c>
    </row>
    <row r="1062" spans="1:9" x14ac:dyDescent="0.15">
      <c r="A1062" s="2">
        <v>15</v>
      </c>
      <c r="B1062" s="1" t="s">
        <v>103</v>
      </c>
      <c r="C1062" s="4">
        <v>32</v>
      </c>
      <c r="D1062" s="8">
        <v>1.75</v>
      </c>
      <c r="E1062" s="4">
        <v>25</v>
      </c>
      <c r="F1062" s="8">
        <v>2.9</v>
      </c>
      <c r="G1062" s="4">
        <v>7</v>
      </c>
      <c r="H1062" s="8">
        <v>0.73</v>
      </c>
      <c r="I1062" s="4">
        <v>0</v>
      </c>
    </row>
    <row r="1063" spans="1:9" x14ac:dyDescent="0.15">
      <c r="A1063" s="2">
        <v>16</v>
      </c>
      <c r="B1063" s="1" t="s">
        <v>98</v>
      </c>
      <c r="C1063" s="4">
        <v>28</v>
      </c>
      <c r="D1063" s="8">
        <v>1.53</v>
      </c>
      <c r="E1063" s="4">
        <v>9</v>
      </c>
      <c r="F1063" s="8">
        <v>1.05</v>
      </c>
      <c r="G1063" s="4">
        <v>19</v>
      </c>
      <c r="H1063" s="8">
        <v>1.97</v>
      </c>
      <c r="I1063" s="4">
        <v>0</v>
      </c>
    </row>
    <row r="1064" spans="1:9" x14ac:dyDescent="0.15">
      <c r="A1064" s="2">
        <v>17</v>
      </c>
      <c r="B1064" s="1" t="s">
        <v>123</v>
      </c>
      <c r="C1064" s="4">
        <v>26</v>
      </c>
      <c r="D1064" s="8">
        <v>1.42</v>
      </c>
      <c r="E1064" s="4">
        <v>6</v>
      </c>
      <c r="F1064" s="8">
        <v>0.7</v>
      </c>
      <c r="G1064" s="4">
        <v>20</v>
      </c>
      <c r="H1064" s="8">
        <v>2.0699999999999998</v>
      </c>
      <c r="I1064" s="4">
        <v>0</v>
      </c>
    </row>
    <row r="1065" spans="1:9" x14ac:dyDescent="0.15">
      <c r="A1065" s="2">
        <v>17</v>
      </c>
      <c r="B1065" s="1" t="s">
        <v>106</v>
      </c>
      <c r="C1065" s="4">
        <v>26</v>
      </c>
      <c r="D1065" s="8">
        <v>1.42</v>
      </c>
      <c r="E1065" s="4">
        <v>3</v>
      </c>
      <c r="F1065" s="8">
        <v>0.35</v>
      </c>
      <c r="G1065" s="4">
        <v>23</v>
      </c>
      <c r="H1065" s="8">
        <v>2.38</v>
      </c>
      <c r="I1065" s="4">
        <v>0</v>
      </c>
    </row>
    <row r="1066" spans="1:9" x14ac:dyDescent="0.15">
      <c r="A1066" s="2">
        <v>19</v>
      </c>
      <c r="B1066" s="1" t="s">
        <v>124</v>
      </c>
      <c r="C1066" s="4">
        <v>24</v>
      </c>
      <c r="D1066" s="8">
        <v>1.31</v>
      </c>
      <c r="E1066" s="4">
        <v>2</v>
      </c>
      <c r="F1066" s="8">
        <v>0.23</v>
      </c>
      <c r="G1066" s="4">
        <v>22</v>
      </c>
      <c r="H1066" s="8">
        <v>2.2799999999999998</v>
      </c>
      <c r="I1066" s="4">
        <v>0</v>
      </c>
    </row>
    <row r="1067" spans="1:9" x14ac:dyDescent="0.15">
      <c r="A1067" s="2">
        <v>19</v>
      </c>
      <c r="B1067" s="1" t="s">
        <v>97</v>
      </c>
      <c r="C1067" s="4">
        <v>24</v>
      </c>
      <c r="D1067" s="8">
        <v>1.31</v>
      </c>
      <c r="E1067" s="4">
        <v>12</v>
      </c>
      <c r="F1067" s="8">
        <v>1.39</v>
      </c>
      <c r="G1067" s="4">
        <v>12</v>
      </c>
      <c r="H1067" s="8">
        <v>1.24</v>
      </c>
      <c r="I1067" s="4">
        <v>0</v>
      </c>
    </row>
    <row r="1068" spans="1:9" x14ac:dyDescent="0.15">
      <c r="A1068" s="1"/>
      <c r="C1068" s="4"/>
      <c r="D1068" s="8"/>
      <c r="E1068" s="4"/>
      <c r="F1068" s="8"/>
      <c r="G1068" s="4"/>
      <c r="H1068" s="8"/>
      <c r="I1068" s="4"/>
    </row>
    <row r="1069" spans="1:9" x14ac:dyDescent="0.15">
      <c r="A1069" s="1" t="s">
        <v>48</v>
      </c>
      <c r="C1069" s="4"/>
      <c r="D1069" s="8"/>
      <c r="E1069" s="4"/>
      <c r="F1069" s="8"/>
      <c r="G1069" s="4"/>
      <c r="H1069" s="8"/>
      <c r="I1069" s="4"/>
    </row>
    <row r="1070" spans="1:9" x14ac:dyDescent="0.15">
      <c r="A1070" s="2">
        <v>1</v>
      </c>
      <c r="B1070" s="1" t="s">
        <v>99</v>
      </c>
      <c r="C1070" s="4">
        <v>60</v>
      </c>
      <c r="D1070" s="8">
        <v>9.7899999999999991</v>
      </c>
      <c r="E1070" s="4">
        <v>43</v>
      </c>
      <c r="F1070" s="8">
        <v>15.87</v>
      </c>
      <c r="G1070" s="4">
        <v>17</v>
      </c>
      <c r="H1070" s="8">
        <v>5.03</v>
      </c>
      <c r="I1070" s="4">
        <v>0</v>
      </c>
    </row>
    <row r="1071" spans="1:9" x14ac:dyDescent="0.15">
      <c r="A1071" s="2">
        <v>2</v>
      </c>
      <c r="B1071" s="1" t="s">
        <v>85</v>
      </c>
      <c r="C1071" s="4">
        <v>54</v>
      </c>
      <c r="D1071" s="8">
        <v>8.81</v>
      </c>
      <c r="E1071" s="4">
        <v>11</v>
      </c>
      <c r="F1071" s="8">
        <v>4.0599999999999996</v>
      </c>
      <c r="G1071" s="4">
        <v>43</v>
      </c>
      <c r="H1071" s="8">
        <v>12.72</v>
      </c>
      <c r="I1071" s="4">
        <v>0</v>
      </c>
    </row>
    <row r="1072" spans="1:9" x14ac:dyDescent="0.15">
      <c r="A1072" s="2">
        <v>3</v>
      </c>
      <c r="B1072" s="1" t="s">
        <v>94</v>
      </c>
      <c r="C1072" s="4">
        <v>51</v>
      </c>
      <c r="D1072" s="8">
        <v>8.32</v>
      </c>
      <c r="E1072" s="4">
        <v>30</v>
      </c>
      <c r="F1072" s="8">
        <v>11.07</v>
      </c>
      <c r="G1072" s="4">
        <v>21</v>
      </c>
      <c r="H1072" s="8">
        <v>6.21</v>
      </c>
      <c r="I1072" s="4">
        <v>0</v>
      </c>
    </row>
    <row r="1073" spans="1:9" x14ac:dyDescent="0.15">
      <c r="A1073" s="2">
        <v>4</v>
      </c>
      <c r="B1073" s="1" t="s">
        <v>100</v>
      </c>
      <c r="C1073" s="4">
        <v>46</v>
      </c>
      <c r="D1073" s="8">
        <v>7.5</v>
      </c>
      <c r="E1073" s="4">
        <v>39</v>
      </c>
      <c r="F1073" s="8">
        <v>14.39</v>
      </c>
      <c r="G1073" s="4">
        <v>7</v>
      </c>
      <c r="H1073" s="8">
        <v>2.0699999999999998</v>
      </c>
      <c r="I1073" s="4">
        <v>0</v>
      </c>
    </row>
    <row r="1074" spans="1:9" x14ac:dyDescent="0.15">
      <c r="A1074" s="2">
        <v>5</v>
      </c>
      <c r="B1074" s="1" t="s">
        <v>96</v>
      </c>
      <c r="C1074" s="4">
        <v>40</v>
      </c>
      <c r="D1074" s="8">
        <v>6.53</v>
      </c>
      <c r="E1074" s="4">
        <v>7</v>
      </c>
      <c r="F1074" s="8">
        <v>2.58</v>
      </c>
      <c r="G1074" s="4">
        <v>32</v>
      </c>
      <c r="H1074" s="8">
        <v>9.4700000000000006</v>
      </c>
      <c r="I1074" s="4">
        <v>1</v>
      </c>
    </row>
    <row r="1075" spans="1:9" x14ac:dyDescent="0.15">
      <c r="A1075" s="2">
        <v>6</v>
      </c>
      <c r="B1075" s="1" t="s">
        <v>86</v>
      </c>
      <c r="C1075" s="4">
        <v>37</v>
      </c>
      <c r="D1075" s="8">
        <v>6.04</v>
      </c>
      <c r="E1075" s="4">
        <v>28</v>
      </c>
      <c r="F1075" s="8">
        <v>10.33</v>
      </c>
      <c r="G1075" s="4">
        <v>9</v>
      </c>
      <c r="H1075" s="8">
        <v>2.66</v>
      </c>
      <c r="I1075" s="4">
        <v>0</v>
      </c>
    </row>
    <row r="1076" spans="1:9" x14ac:dyDescent="0.15">
      <c r="A1076" s="2">
        <v>7</v>
      </c>
      <c r="B1076" s="1" t="s">
        <v>92</v>
      </c>
      <c r="C1076" s="4">
        <v>36</v>
      </c>
      <c r="D1076" s="8">
        <v>5.87</v>
      </c>
      <c r="E1076" s="4">
        <v>21</v>
      </c>
      <c r="F1076" s="8">
        <v>7.75</v>
      </c>
      <c r="G1076" s="4">
        <v>15</v>
      </c>
      <c r="H1076" s="8">
        <v>4.4400000000000004</v>
      </c>
      <c r="I1076" s="4">
        <v>0</v>
      </c>
    </row>
    <row r="1077" spans="1:9" x14ac:dyDescent="0.15">
      <c r="A1077" s="2">
        <v>8</v>
      </c>
      <c r="B1077" s="1" t="s">
        <v>93</v>
      </c>
      <c r="C1077" s="4">
        <v>26</v>
      </c>
      <c r="D1077" s="8">
        <v>4.24</v>
      </c>
      <c r="E1077" s="4">
        <v>12</v>
      </c>
      <c r="F1077" s="8">
        <v>4.43</v>
      </c>
      <c r="G1077" s="4">
        <v>14</v>
      </c>
      <c r="H1077" s="8">
        <v>4.1399999999999997</v>
      </c>
      <c r="I1077" s="4">
        <v>0</v>
      </c>
    </row>
    <row r="1078" spans="1:9" x14ac:dyDescent="0.15">
      <c r="A1078" s="2">
        <v>9</v>
      </c>
      <c r="B1078" s="1" t="s">
        <v>98</v>
      </c>
      <c r="C1078" s="4">
        <v>22</v>
      </c>
      <c r="D1078" s="8">
        <v>3.59</v>
      </c>
      <c r="E1078" s="4">
        <v>12</v>
      </c>
      <c r="F1078" s="8">
        <v>4.43</v>
      </c>
      <c r="G1078" s="4">
        <v>10</v>
      </c>
      <c r="H1078" s="8">
        <v>2.96</v>
      </c>
      <c r="I1078" s="4">
        <v>0</v>
      </c>
    </row>
    <row r="1079" spans="1:9" x14ac:dyDescent="0.15">
      <c r="A1079" s="2">
        <v>10</v>
      </c>
      <c r="B1079" s="1" t="s">
        <v>91</v>
      </c>
      <c r="C1079" s="4">
        <v>20</v>
      </c>
      <c r="D1079" s="8">
        <v>3.26</v>
      </c>
      <c r="E1079" s="4">
        <v>14</v>
      </c>
      <c r="F1079" s="8">
        <v>5.17</v>
      </c>
      <c r="G1079" s="4">
        <v>6</v>
      </c>
      <c r="H1079" s="8">
        <v>1.78</v>
      </c>
      <c r="I1079" s="4">
        <v>0</v>
      </c>
    </row>
    <row r="1080" spans="1:9" x14ac:dyDescent="0.15">
      <c r="A1080" s="2">
        <v>11</v>
      </c>
      <c r="B1080" s="1" t="s">
        <v>97</v>
      </c>
      <c r="C1080" s="4">
        <v>19</v>
      </c>
      <c r="D1080" s="8">
        <v>3.1</v>
      </c>
      <c r="E1080" s="4">
        <v>5</v>
      </c>
      <c r="F1080" s="8">
        <v>1.85</v>
      </c>
      <c r="G1080" s="4">
        <v>14</v>
      </c>
      <c r="H1080" s="8">
        <v>4.1399999999999997</v>
      </c>
      <c r="I1080" s="4">
        <v>0</v>
      </c>
    </row>
    <row r="1081" spans="1:9" x14ac:dyDescent="0.15">
      <c r="A1081" s="2">
        <v>12</v>
      </c>
      <c r="B1081" s="1" t="s">
        <v>102</v>
      </c>
      <c r="C1081" s="4">
        <v>17</v>
      </c>
      <c r="D1081" s="8">
        <v>2.77</v>
      </c>
      <c r="E1081" s="4">
        <v>11</v>
      </c>
      <c r="F1081" s="8">
        <v>4.0599999999999996</v>
      </c>
      <c r="G1081" s="4">
        <v>6</v>
      </c>
      <c r="H1081" s="8">
        <v>1.78</v>
      </c>
      <c r="I1081" s="4">
        <v>0</v>
      </c>
    </row>
    <row r="1082" spans="1:9" x14ac:dyDescent="0.15">
      <c r="A1082" s="2">
        <v>12</v>
      </c>
      <c r="B1082" s="1" t="s">
        <v>103</v>
      </c>
      <c r="C1082" s="4">
        <v>17</v>
      </c>
      <c r="D1082" s="8">
        <v>2.77</v>
      </c>
      <c r="E1082" s="4">
        <v>11</v>
      </c>
      <c r="F1082" s="8">
        <v>4.0599999999999996</v>
      </c>
      <c r="G1082" s="4">
        <v>6</v>
      </c>
      <c r="H1082" s="8">
        <v>1.78</v>
      </c>
      <c r="I1082" s="4">
        <v>0</v>
      </c>
    </row>
    <row r="1083" spans="1:9" x14ac:dyDescent="0.15">
      <c r="A1083" s="2">
        <v>14</v>
      </c>
      <c r="B1083" s="1" t="s">
        <v>95</v>
      </c>
      <c r="C1083" s="4">
        <v>16</v>
      </c>
      <c r="D1083" s="8">
        <v>2.61</v>
      </c>
      <c r="E1083" s="4">
        <v>2</v>
      </c>
      <c r="F1083" s="8">
        <v>0.74</v>
      </c>
      <c r="G1083" s="4">
        <v>14</v>
      </c>
      <c r="H1083" s="8">
        <v>4.1399999999999997</v>
      </c>
      <c r="I1083" s="4">
        <v>0</v>
      </c>
    </row>
    <row r="1084" spans="1:9" x14ac:dyDescent="0.15">
      <c r="A1084" s="2">
        <v>15</v>
      </c>
      <c r="B1084" s="1" t="s">
        <v>87</v>
      </c>
      <c r="C1084" s="4">
        <v>14</v>
      </c>
      <c r="D1084" s="8">
        <v>2.2799999999999998</v>
      </c>
      <c r="E1084" s="4">
        <v>0</v>
      </c>
      <c r="F1084" s="8">
        <v>0</v>
      </c>
      <c r="G1084" s="4">
        <v>14</v>
      </c>
      <c r="H1084" s="8">
        <v>4.1399999999999997</v>
      </c>
      <c r="I1084" s="4">
        <v>0</v>
      </c>
    </row>
    <row r="1085" spans="1:9" x14ac:dyDescent="0.15">
      <c r="A1085" s="2">
        <v>15</v>
      </c>
      <c r="B1085" s="1" t="s">
        <v>116</v>
      </c>
      <c r="C1085" s="4">
        <v>14</v>
      </c>
      <c r="D1085" s="8">
        <v>2.2799999999999998</v>
      </c>
      <c r="E1085" s="4">
        <v>3</v>
      </c>
      <c r="F1085" s="8">
        <v>1.1100000000000001</v>
      </c>
      <c r="G1085" s="4">
        <v>11</v>
      </c>
      <c r="H1085" s="8">
        <v>3.25</v>
      </c>
      <c r="I1085" s="4">
        <v>0</v>
      </c>
    </row>
    <row r="1086" spans="1:9" x14ac:dyDescent="0.15">
      <c r="A1086" s="2">
        <v>17</v>
      </c>
      <c r="B1086" s="1" t="s">
        <v>118</v>
      </c>
      <c r="C1086" s="4">
        <v>10</v>
      </c>
      <c r="D1086" s="8">
        <v>1.63</v>
      </c>
      <c r="E1086" s="4">
        <v>1</v>
      </c>
      <c r="F1086" s="8">
        <v>0.37</v>
      </c>
      <c r="G1086" s="4">
        <v>9</v>
      </c>
      <c r="H1086" s="8">
        <v>2.66</v>
      </c>
      <c r="I1086" s="4">
        <v>0</v>
      </c>
    </row>
    <row r="1087" spans="1:9" x14ac:dyDescent="0.15">
      <c r="A1087" s="2">
        <v>18</v>
      </c>
      <c r="B1087" s="1" t="s">
        <v>101</v>
      </c>
      <c r="C1087" s="4">
        <v>9</v>
      </c>
      <c r="D1087" s="8">
        <v>1.47</v>
      </c>
      <c r="E1087" s="4">
        <v>5</v>
      </c>
      <c r="F1087" s="8">
        <v>1.85</v>
      </c>
      <c r="G1087" s="4">
        <v>4</v>
      </c>
      <c r="H1087" s="8">
        <v>1.18</v>
      </c>
      <c r="I1087" s="4">
        <v>0</v>
      </c>
    </row>
    <row r="1088" spans="1:9" x14ac:dyDescent="0.15">
      <c r="A1088" s="2">
        <v>19</v>
      </c>
      <c r="B1088" s="1" t="s">
        <v>109</v>
      </c>
      <c r="C1088" s="4">
        <v>8</v>
      </c>
      <c r="D1088" s="8">
        <v>1.31</v>
      </c>
      <c r="E1088" s="4">
        <v>0</v>
      </c>
      <c r="F1088" s="8">
        <v>0</v>
      </c>
      <c r="G1088" s="4">
        <v>8</v>
      </c>
      <c r="H1088" s="8">
        <v>2.37</v>
      </c>
      <c r="I1088" s="4">
        <v>0</v>
      </c>
    </row>
    <row r="1089" spans="1:9" x14ac:dyDescent="0.15">
      <c r="A1089" s="2">
        <v>19</v>
      </c>
      <c r="B1089" s="1" t="s">
        <v>105</v>
      </c>
      <c r="C1089" s="4">
        <v>8</v>
      </c>
      <c r="D1089" s="8">
        <v>1.31</v>
      </c>
      <c r="E1089" s="4">
        <v>2</v>
      </c>
      <c r="F1089" s="8">
        <v>0.74</v>
      </c>
      <c r="G1089" s="4">
        <v>6</v>
      </c>
      <c r="H1089" s="8">
        <v>1.78</v>
      </c>
      <c r="I1089" s="4">
        <v>0</v>
      </c>
    </row>
    <row r="1090" spans="1:9" x14ac:dyDescent="0.15">
      <c r="A1090" s="2">
        <v>19</v>
      </c>
      <c r="B1090" s="1" t="s">
        <v>104</v>
      </c>
      <c r="C1090" s="4">
        <v>8</v>
      </c>
      <c r="D1090" s="8">
        <v>1.31</v>
      </c>
      <c r="E1090" s="4">
        <v>0</v>
      </c>
      <c r="F1090" s="8">
        <v>0</v>
      </c>
      <c r="G1090" s="4">
        <v>8</v>
      </c>
      <c r="H1090" s="8">
        <v>2.37</v>
      </c>
      <c r="I1090" s="4">
        <v>0</v>
      </c>
    </row>
    <row r="1091" spans="1:9" x14ac:dyDescent="0.15">
      <c r="A1091" s="1"/>
      <c r="C1091" s="4"/>
      <c r="D1091" s="8"/>
      <c r="E1091" s="4"/>
      <c r="F1091" s="8"/>
      <c r="G1091" s="4"/>
      <c r="H1091" s="8"/>
      <c r="I1091" s="4"/>
    </row>
    <row r="1092" spans="1:9" x14ac:dyDescent="0.15">
      <c r="A1092" s="1" t="s">
        <v>49</v>
      </c>
      <c r="C1092" s="4"/>
      <c r="D1092" s="8"/>
      <c r="E1092" s="4"/>
      <c r="F1092" s="8"/>
      <c r="G1092" s="4"/>
      <c r="H1092" s="8"/>
      <c r="I1092" s="4"/>
    </row>
    <row r="1093" spans="1:9" x14ac:dyDescent="0.15">
      <c r="A1093" s="2">
        <v>1</v>
      </c>
      <c r="B1093" s="1" t="s">
        <v>96</v>
      </c>
      <c r="C1093" s="4">
        <v>159</v>
      </c>
      <c r="D1093" s="8">
        <v>14.45</v>
      </c>
      <c r="E1093" s="4">
        <v>108</v>
      </c>
      <c r="F1093" s="8">
        <v>19.079999999999998</v>
      </c>
      <c r="G1093" s="4">
        <v>51</v>
      </c>
      <c r="H1093" s="8">
        <v>9.57</v>
      </c>
      <c r="I1093" s="4">
        <v>0</v>
      </c>
    </row>
    <row r="1094" spans="1:9" x14ac:dyDescent="0.15">
      <c r="A1094" s="2">
        <v>2</v>
      </c>
      <c r="B1094" s="1" t="s">
        <v>99</v>
      </c>
      <c r="C1094" s="4">
        <v>97</v>
      </c>
      <c r="D1094" s="8">
        <v>8.82</v>
      </c>
      <c r="E1094" s="4">
        <v>84</v>
      </c>
      <c r="F1094" s="8">
        <v>14.84</v>
      </c>
      <c r="G1094" s="4">
        <v>13</v>
      </c>
      <c r="H1094" s="8">
        <v>2.44</v>
      </c>
      <c r="I1094" s="4">
        <v>0</v>
      </c>
    </row>
    <row r="1095" spans="1:9" x14ac:dyDescent="0.15">
      <c r="A1095" s="2">
        <v>3</v>
      </c>
      <c r="B1095" s="1" t="s">
        <v>100</v>
      </c>
      <c r="C1095" s="4">
        <v>86</v>
      </c>
      <c r="D1095" s="8">
        <v>7.82</v>
      </c>
      <c r="E1095" s="4">
        <v>72</v>
      </c>
      <c r="F1095" s="8">
        <v>12.72</v>
      </c>
      <c r="G1095" s="4">
        <v>14</v>
      </c>
      <c r="H1095" s="8">
        <v>2.63</v>
      </c>
      <c r="I1095" s="4">
        <v>0</v>
      </c>
    </row>
    <row r="1096" spans="1:9" x14ac:dyDescent="0.15">
      <c r="A1096" s="2">
        <v>4</v>
      </c>
      <c r="B1096" s="1" t="s">
        <v>85</v>
      </c>
      <c r="C1096" s="4">
        <v>83</v>
      </c>
      <c r="D1096" s="8">
        <v>7.55</v>
      </c>
      <c r="E1096" s="4">
        <v>14</v>
      </c>
      <c r="F1096" s="8">
        <v>2.4700000000000002</v>
      </c>
      <c r="G1096" s="4">
        <v>69</v>
      </c>
      <c r="H1096" s="8">
        <v>12.95</v>
      </c>
      <c r="I1096" s="4">
        <v>0</v>
      </c>
    </row>
    <row r="1097" spans="1:9" x14ac:dyDescent="0.15">
      <c r="A1097" s="2">
        <v>5</v>
      </c>
      <c r="B1097" s="1" t="s">
        <v>86</v>
      </c>
      <c r="C1097" s="4">
        <v>67</v>
      </c>
      <c r="D1097" s="8">
        <v>6.09</v>
      </c>
      <c r="E1097" s="4">
        <v>23</v>
      </c>
      <c r="F1097" s="8">
        <v>4.0599999999999996</v>
      </c>
      <c r="G1097" s="4">
        <v>44</v>
      </c>
      <c r="H1097" s="8">
        <v>8.26</v>
      </c>
      <c r="I1097" s="4">
        <v>0</v>
      </c>
    </row>
    <row r="1098" spans="1:9" x14ac:dyDescent="0.15">
      <c r="A1098" s="2">
        <v>6</v>
      </c>
      <c r="B1098" s="1" t="s">
        <v>94</v>
      </c>
      <c r="C1098" s="4">
        <v>51</v>
      </c>
      <c r="D1098" s="8">
        <v>4.6399999999999997</v>
      </c>
      <c r="E1098" s="4">
        <v>26</v>
      </c>
      <c r="F1098" s="8">
        <v>4.59</v>
      </c>
      <c r="G1098" s="4">
        <v>25</v>
      </c>
      <c r="H1098" s="8">
        <v>4.6900000000000004</v>
      </c>
      <c r="I1098" s="4">
        <v>0</v>
      </c>
    </row>
    <row r="1099" spans="1:9" x14ac:dyDescent="0.15">
      <c r="A1099" s="2">
        <v>7</v>
      </c>
      <c r="B1099" s="1" t="s">
        <v>102</v>
      </c>
      <c r="C1099" s="4">
        <v>47</v>
      </c>
      <c r="D1099" s="8">
        <v>4.2699999999999996</v>
      </c>
      <c r="E1099" s="4">
        <v>38</v>
      </c>
      <c r="F1099" s="8">
        <v>6.71</v>
      </c>
      <c r="G1099" s="4">
        <v>9</v>
      </c>
      <c r="H1099" s="8">
        <v>1.69</v>
      </c>
      <c r="I1099" s="4">
        <v>0</v>
      </c>
    </row>
    <row r="1100" spans="1:9" x14ac:dyDescent="0.15">
      <c r="A1100" s="2">
        <v>8</v>
      </c>
      <c r="B1100" s="1" t="s">
        <v>93</v>
      </c>
      <c r="C1100" s="4">
        <v>45</v>
      </c>
      <c r="D1100" s="8">
        <v>4.09</v>
      </c>
      <c r="E1100" s="4">
        <v>25</v>
      </c>
      <c r="F1100" s="8">
        <v>4.42</v>
      </c>
      <c r="G1100" s="4">
        <v>20</v>
      </c>
      <c r="H1100" s="8">
        <v>3.75</v>
      </c>
      <c r="I1100" s="4">
        <v>0</v>
      </c>
    </row>
    <row r="1101" spans="1:9" x14ac:dyDescent="0.15">
      <c r="A1101" s="2">
        <v>9</v>
      </c>
      <c r="B1101" s="1" t="s">
        <v>92</v>
      </c>
      <c r="C1101" s="4">
        <v>43</v>
      </c>
      <c r="D1101" s="8">
        <v>3.91</v>
      </c>
      <c r="E1101" s="4">
        <v>35</v>
      </c>
      <c r="F1101" s="8">
        <v>6.18</v>
      </c>
      <c r="G1101" s="4">
        <v>8</v>
      </c>
      <c r="H1101" s="8">
        <v>1.5</v>
      </c>
      <c r="I1101" s="4">
        <v>0</v>
      </c>
    </row>
    <row r="1102" spans="1:9" x14ac:dyDescent="0.15">
      <c r="A1102" s="2">
        <v>10</v>
      </c>
      <c r="B1102" s="1" t="s">
        <v>87</v>
      </c>
      <c r="C1102" s="4">
        <v>40</v>
      </c>
      <c r="D1102" s="8">
        <v>3.64</v>
      </c>
      <c r="E1102" s="4">
        <v>6</v>
      </c>
      <c r="F1102" s="8">
        <v>1.06</v>
      </c>
      <c r="G1102" s="4">
        <v>34</v>
      </c>
      <c r="H1102" s="8">
        <v>6.38</v>
      </c>
      <c r="I1102" s="4">
        <v>0</v>
      </c>
    </row>
    <row r="1103" spans="1:9" x14ac:dyDescent="0.15">
      <c r="A1103" s="2">
        <v>11</v>
      </c>
      <c r="B1103" s="1" t="s">
        <v>103</v>
      </c>
      <c r="C1103" s="4">
        <v>34</v>
      </c>
      <c r="D1103" s="8">
        <v>3.09</v>
      </c>
      <c r="E1103" s="4">
        <v>32</v>
      </c>
      <c r="F1103" s="8">
        <v>5.65</v>
      </c>
      <c r="G1103" s="4">
        <v>2</v>
      </c>
      <c r="H1103" s="8">
        <v>0.38</v>
      </c>
      <c r="I1103" s="4">
        <v>0</v>
      </c>
    </row>
    <row r="1104" spans="1:9" x14ac:dyDescent="0.15">
      <c r="A1104" s="2">
        <v>12</v>
      </c>
      <c r="B1104" s="1" t="s">
        <v>89</v>
      </c>
      <c r="C1104" s="4">
        <v>32</v>
      </c>
      <c r="D1104" s="8">
        <v>2.91</v>
      </c>
      <c r="E1104" s="4">
        <v>9</v>
      </c>
      <c r="F1104" s="8">
        <v>1.59</v>
      </c>
      <c r="G1104" s="4">
        <v>23</v>
      </c>
      <c r="H1104" s="8">
        <v>4.32</v>
      </c>
      <c r="I1104" s="4">
        <v>0</v>
      </c>
    </row>
    <row r="1105" spans="1:9" x14ac:dyDescent="0.15">
      <c r="A1105" s="2">
        <v>13</v>
      </c>
      <c r="B1105" s="1" t="s">
        <v>106</v>
      </c>
      <c r="C1105" s="4">
        <v>26</v>
      </c>
      <c r="D1105" s="8">
        <v>2.36</v>
      </c>
      <c r="E1105" s="4">
        <v>5</v>
      </c>
      <c r="F1105" s="8">
        <v>0.88</v>
      </c>
      <c r="G1105" s="4">
        <v>21</v>
      </c>
      <c r="H1105" s="8">
        <v>3.94</v>
      </c>
      <c r="I1105" s="4">
        <v>0</v>
      </c>
    </row>
    <row r="1106" spans="1:9" x14ac:dyDescent="0.15">
      <c r="A1106" s="2">
        <v>14</v>
      </c>
      <c r="B1106" s="1" t="s">
        <v>117</v>
      </c>
      <c r="C1106" s="4">
        <v>23</v>
      </c>
      <c r="D1106" s="8">
        <v>2.09</v>
      </c>
      <c r="E1106" s="4">
        <v>15</v>
      </c>
      <c r="F1106" s="8">
        <v>2.65</v>
      </c>
      <c r="G1106" s="4">
        <v>8</v>
      </c>
      <c r="H1106" s="8">
        <v>1.5</v>
      </c>
      <c r="I1106" s="4">
        <v>0</v>
      </c>
    </row>
    <row r="1107" spans="1:9" x14ac:dyDescent="0.15">
      <c r="A1107" s="2">
        <v>15</v>
      </c>
      <c r="B1107" s="1" t="s">
        <v>88</v>
      </c>
      <c r="C1107" s="4">
        <v>22</v>
      </c>
      <c r="D1107" s="8">
        <v>2</v>
      </c>
      <c r="E1107" s="4">
        <v>6</v>
      </c>
      <c r="F1107" s="8">
        <v>1.06</v>
      </c>
      <c r="G1107" s="4">
        <v>16</v>
      </c>
      <c r="H1107" s="8">
        <v>3</v>
      </c>
      <c r="I1107" s="4">
        <v>0</v>
      </c>
    </row>
    <row r="1108" spans="1:9" x14ac:dyDescent="0.15">
      <c r="A1108" s="2">
        <v>16</v>
      </c>
      <c r="B1108" s="1" t="s">
        <v>98</v>
      </c>
      <c r="C1108" s="4">
        <v>17</v>
      </c>
      <c r="D1108" s="8">
        <v>1.55</v>
      </c>
      <c r="E1108" s="4">
        <v>5</v>
      </c>
      <c r="F1108" s="8">
        <v>0.88</v>
      </c>
      <c r="G1108" s="4">
        <v>12</v>
      </c>
      <c r="H1108" s="8">
        <v>2.25</v>
      </c>
      <c r="I1108" s="4">
        <v>0</v>
      </c>
    </row>
    <row r="1109" spans="1:9" x14ac:dyDescent="0.15">
      <c r="A1109" s="2">
        <v>17</v>
      </c>
      <c r="B1109" s="1" t="s">
        <v>125</v>
      </c>
      <c r="C1109" s="4">
        <v>14</v>
      </c>
      <c r="D1109" s="8">
        <v>1.27</v>
      </c>
      <c r="E1109" s="4">
        <v>4</v>
      </c>
      <c r="F1109" s="8">
        <v>0.71</v>
      </c>
      <c r="G1109" s="4">
        <v>10</v>
      </c>
      <c r="H1109" s="8">
        <v>1.88</v>
      </c>
      <c r="I1109" s="4">
        <v>0</v>
      </c>
    </row>
    <row r="1110" spans="1:9" x14ac:dyDescent="0.15">
      <c r="A1110" s="2">
        <v>17</v>
      </c>
      <c r="B1110" s="1" t="s">
        <v>95</v>
      </c>
      <c r="C1110" s="4">
        <v>14</v>
      </c>
      <c r="D1110" s="8">
        <v>1.27</v>
      </c>
      <c r="E1110" s="4">
        <v>0</v>
      </c>
      <c r="F1110" s="8">
        <v>0</v>
      </c>
      <c r="G1110" s="4">
        <v>14</v>
      </c>
      <c r="H1110" s="8">
        <v>2.63</v>
      </c>
      <c r="I1110" s="4">
        <v>0</v>
      </c>
    </row>
    <row r="1111" spans="1:9" x14ac:dyDescent="0.15">
      <c r="A1111" s="2">
        <v>19</v>
      </c>
      <c r="B1111" s="1" t="s">
        <v>120</v>
      </c>
      <c r="C1111" s="4">
        <v>13</v>
      </c>
      <c r="D1111" s="8">
        <v>1.18</v>
      </c>
      <c r="E1111" s="4">
        <v>0</v>
      </c>
      <c r="F1111" s="8">
        <v>0</v>
      </c>
      <c r="G1111" s="4">
        <v>13</v>
      </c>
      <c r="H1111" s="8">
        <v>2.44</v>
      </c>
      <c r="I1111" s="4">
        <v>0</v>
      </c>
    </row>
    <row r="1112" spans="1:9" x14ac:dyDescent="0.15">
      <c r="A1112" s="2">
        <v>19</v>
      </c>
      <c r="B1112" s="1" t="s">
        <v>101</v>
      </c>
      <c r="C1112" s="4">
        <v>13</v>
      </c>
      <c r="D1112" s="8">
        <v>1.18</v>
      </c>
      <c r="E1112" s="4">
        <v>8</v>
      </c>
      <c r="F1112" s="8">
        <v>1.41</v>
      </c>
      <c r="G1112" s="4">
        <v>5</v>
      </c>
      <c r="H1112" s="8">
        <v>0.94</v>
      </c>
      <c r="I1112" s="4">
        <v>0</v>
      </c>
    </row>
    <row r="1113" spans="1:9" x14ac:dyDescent="0.15">
      <c r="A1113" s="1"/>
      <c r="C1113" s="4"/>
      <c r="D1113" s="8"/>
      <c r="E1113" s="4"/>
      <c r="F1113" s="8"/>
      <c r="G1113" s="4"/>
      <c r="H1113" s="8"/>
      <c r="I1113" s="4"/>
    </row>
    <row r="1114" spans="1:9" x14ac:dyDescent="0.15">
      <c r="A1114" s="1" t="s">
        <v>50</v>
      </c>
      <c r="C1114" s="4"/>
      <c r="D1114" s="8"/>
      <c r="E1114" s="4"/>
      <c r="F1114" s="8"/>
      <c r="G1114" s="4"/>
      <c r="H1114" s="8"/>
      <c r="I1114" s="4"/>
    </row>
    <row r="1115" spans="1:9" x14ac:dyDescent="0.15">
      <c r="A1115" s="2">
        <v>1</v>
      </c>
      <c r="B1115" s="1" t="s">
        <v>96</v>
      </c>
      <c r="C1115" s="4">
        <v>201</v>
      </c>
      <c r="D1115" s="8">
        <v>26.34</v>
      </c>
      <c r="E1115" s="4">
        <v>174</v>
      </c>
      <c r="F1115" s="8">
        <v>34.729999999999997</v>
      </c>
      <c r="G1115" s="4">
        <v>27</v>
      </c>
      <c r="H1115" s="8">
        <v>10.38</v>
      </c>
      <c r="I1115" s="4">
        <v>0</v>
      </c>
    </row>
    <row r="1116" spans="1:9" x14ac:dyDescent="0.15">
      <c r="A1116" s="2">
        <v>2</v>
      </c>
      <c r="B1116" s="1" t="s">
        <v>100</v>
      </c>
      <c r="C1116" s="4">
        <v>53</v>
      </c>
      <c r="D1116" s="8">
        <v>6.95</v>
      </c>
      <c r="E1116" s="4">
        <v>43</v>
      </c>
      <c r="F1116" s="8">
        <v>8.58</v>
      </c>
      <c r="G1116" s="4">
        <v>10</v>
      </c>
      <c r="H1116" s="8">
        <v>3.85</v>
      </c>
      <c r="I1116" s="4">
        <v>0</v>
      </c>
    </row>
    <row r="1117" spans="1:9" x14ac:dyDescent="0.15">
      <c r="A1117" s="2">
        <v>3</v>
      </c>
      <c r="B1117" s="1" t="s">
        <v>94</v>
      </c>
      <c r="C1117" s="4">
        <v>50</v>
      </c>
      <c r="D1117" s="8">
        <v>6.55</v>
      </c>
      <c r="E1117" s="4">
        <v>29</v>
      </c>
      <c r="F1117" s="8">
        <v>5.79</v>
      </c>
      <c r="G1117" s="4">
        <v>21</v>
      </c>
      <c r="H1117" s="8">
        <v>8.08</v>
      </c>
      <c r="I1117" s="4">
        <v>0</v>
      </c>
    </row>
    <row r="1118" spans="1:9" x14ac:dyDescent="0.15">
      <c r="A1118" s="2">
        <v>3</v>
      </c>
      <c r="B1118" s="1" t="s">
        <v>99</v>
      </c>
      <c r="C1118" s="4">
        <v>50</v>
      </c>
      <c r="D1118" s="8">
        <v>6.55</v>
      </c>
      <c r="E1118" s="4">
        <v>42</v>
      </c>
      <c r="F1118" s="8">
        <v>8.3800000000000008</v>
      </c>
      <c r="G1118" s="4">
        <v>8</v>
      </c>
      <c r="H1118" s="8">
        <v>3.08</v>
      </c>
      <c r="I1118" s="4">
        <v>0</v>
      </c>
    </row>
    <row r="1119" spans="1:9" x14ac:dyDescent="0.15">
      <c r="A1119" s="2">
        <v>5</v>
      </c>
      <c r="B1119" s="1" t="s">
        <v>92</v>
      </c>
      <c r="C1119" s="4">
        <v>48</v>
      </c>
      <c r="D1119" s="8">
        <v>6.29</v>
      </c>
      <c r="E1119" s="4">
        <v>42</v>
      </c>
      <c r="F1119" s="8">
        <v>8.3800000000000008</v>
      </c>
      <c r="G1119" s="4">
        <v>5</v>
      </c>
      <c r="H1119" s="8">
        <v>1.92</v>
      </c>
      <c r="I1119" s="4">
        <v>1</v>
      </c>
    </row>
    <row r="1120" spans="1:9" x14ac:dyDescent="0.15">
      <c r="A1120" s="2">
        <v>6</v>
      </c>
      <c r="B1120" s="1" t="s">
        <v>102</v>
      </c>
      <c r="C1120" s="4">
        <v>46</v>
      </c>
      <c r="D1120" s="8">
        <v>6.03</v>
      </c>
      <c r="E1120" s="4">
        <v>36</v>
      </c>
      <c r="F1120" s="8">
        <v>7.19</v>
      </c>
      <c r="G1120" s="4">
        <v>9</v>
      </c>
      <c r="H1120" s="8">
        <v>3.46</v>
      </c>
      <c r="I1120" s="4">
        <v>1</v>
      </c>
    </row>
    <row r="1121" spans="1:9" x14ac:dyDescent="0.15">
      <c r="A1121" s="2">
        <v>7</v>
      </c>
      <c r="B1121" s="1" t="s">
        <v>85</v>
      </c>
      <c r="C1121" s="4">
        <v>38</v>
      </c>
      <c r="D1121" s="8">
        <v>4.9800000000000004</v>
      </c>
      <c r="E1121" s="4">
        <v>11</v>
      </c>
      <c r="F1121" s="8">
        <v>2.2000000000000002</v>
      </c>
      <c r="G1121" s="4">
        <v>27</v>
      </c>
      <c r="H1121" s="8">
        <v>10.38</v>
      </c>
      <c r="I1121" s="4">
        <v>0</v>
      </c>
    </row>
    <row r="1122" spans="1:9" x14ac:dyDescent="0.15">
      <c r="A1122" s="2">
        <v>8</v>
      </c>
      <c r="B1122" s="1" t="s">
        <v>103</v>
      </c>
      <c r="C1122" s="4">
        <v>29</v>
      </c>
      <c r="D1122" s="8">
        <v>3.8</v>
      </c>
      <c r="E1122" s="4">
        <v>29</v>
      </c>
      <c r="F1122" s="8">
        <v>5.79</v>
      </c>
      <c r="G1122" s="4">
        <v>0</v>
      </c>
      <c r="H1122" s="8">
        <v>0</v>
      </c>
      <c r="I1122" s="4">
        <v>0</v>
      </c>
    </row>
    <row r="1123" spans="1:9" x14ac:dyDescent="0.15">
      <c r="A1123" s="2">
        <v>9</v>
      </c>
      <c r="B1123" s="1" t="s">
        <v>86</v>
      </c>
      <c r="C1123" s="4">
        <v>24</v>
      </c>
      <c r="D1123" s="8">
        <v>3.15</v>
      </c>
      <c r="E1123" s="4">
        <v>17</v>
      </c>
      <c r="F1123" s="8">
        <v>3.39</v>
      </c>
      <c r="G1123" s="4">
        <v>7</v>
      </c>
      <c r="H1123" s="8">
        <v>2.69</v>
      </c>
      <c r="I1123" s="4">
        <v>0</v>
      </c>
    </row>
    <row r="1124" spans="1:9" x14ac:dyDescent="0.15">
      <c r="A1124" s="2">
        <v>10</v>
      </c>
      <c r="B1124" s="1" t="s">
        <v>97</v>
      </c>
      <c r="C1124" s="4">
        <v>22</v>
      </c>
      <c r="D1124" s="8">
        <v>2.88</v>
      </c>
      <c r="E1124" s="4">
        <v>15</v>
      </c>
      <c r="F1124" s="8">
        <v>2.99</v>
      </c>
      <c r="G1124" s="4">
        <v>7</v>
      </c>
      <c r="H1124" s="8">
        <v>2.69</v>
      </c>
      <c r="I1124" s="4">
        <v>0</v>
      </c>
    </row>
    <row r="1125" spans="1:9" x14ac:dyDescent="0.15">
      <c r="A1125" s="2">
        <v>11</v>
      </c>
      <c r="B1125" s="1" t="s">
        <v>93</v>
      </c>
      <c r="C1125" s="4">
        <v>20</v>
      </c>
      <c r="D1125" s="8">
        <v>2.62</v>
      </c>
      <c r="E1125" s="4">
        <v>9</v>
      </c>
      <c r="F1125" s="8">
        <v>1.8</v>
      </c>
      <c r="G1125" s="4">
        <v>11</v>
      </c>
      <c r="H1125" s="8">
        <v>4.2300000000000004</v>
      </c>
      <c r="I1125" s="4">
        <v>0</v>
      </c>
    </row>
    <row r="1126" spans="1:9" x14ac:dyDescent="0.15">
      <c r="A1126" s="2">
        <v>12</v>
      </c>
      <c r="B1126" s="1" t="s">
        <v>98</v>
      </c>
      <c r="C1126" s="4">
        <v>18</v>
      </c>
      <c r="D1126" s="8">
        <v>2.36</v>
      </c>
      <c r="E1126" s="4">
        <v>8</v>
      </c>
      <c r="F1126" s="8">
        <v>1.6</v>
      </c>
      <c r="G1126" s="4">
        <v>10</v>
      </c>
      <c r="H1126" s="8">
        <v>3.85</v>
      </c>
      <c r="I1126" s="4">
        <v>0</v>
      </c>
    </row>
    <row r="1127" spans="1:9" x14ac:dyDescent="0.15">
      <c r="A1127" s="2">
        <v>13</v>
      </c>
      <c r="B1127" s="1" t="s">
        <v>87</v>
      </c>
      <c r="C1127" s="4">
        <v>15</v>
      </c>
      <c r="D1127" s="8">
        <v>1.97</v>
      </c>
      <c r="E1127" s="4">
        <v>3</v>
      </c>
      <c r="F1127" s="8">
        <v>0.6</v>
      </c>
      <c r="G1127" s="4">
        <v>12</v>
      </c>
      <c r="H1127" s="8">
        <v>4.62</v>
      </c>
      <c r="I1127" s="4">
        <v>0</v>
      </c>
    </row>
    <row r="1128" spans="1:9" x14ac:dyDescent="0.15">
      <c r="A1128" s="2">
        <v>14</v>
      </c>
      <c r="B1128" s="1" t="s">
        <v>95</v>
      </c>
      <c r="C1128" s="4">
        <v>14</v>
      </c>
      <c r="D1128" s="8">
        <v>1.83</v>
      </c>
      <c r="E1128" s="4">
        <v>3</v>
      </c>
      <c r="F1128" s="8">
        <v>0.6</v>
      </c>
      <c r="G1128" s="4">
        <v>11</v>
      </c>
      <c r="H1128" s="8">
        <v>4.2300000000000004</v>
      </c>
      <c r="I1128" s="4">
        <v>0</v>
      </c>
    </row>
    <row r="1129" spans="1:9" x14ac:dyDescent="0.15">
      <c r="A1129" s="2">
        <v>15</v>
      </c>
      <c r="B1129" s="1" t="s">
        <v>109</v>
      </c>
      <c r="C1129" s="4">
        <v>11</v>
      </c>
      <c r="D1129" s="8">
        <v>1.44</v>
      </c>
      <c r="E1129" s="4">
        <v>2</v>
      </c>
      <c r="F1129" s="8">
        <v>0.4</v>
      </c>
      <c r="G1129" s="4">
        <v>9</v>
      </c>
      <c r="H1129" s="8">
        <v>3.46</v>
      </c>
      <c r="I1129" s="4">
        <v>0</v>
      </c>
    </row>
    <row r="1130" spans="1:9" x14ac:dyDescent="0.15">
      <c r="A1130" s="2">
        <v>15</v>
      </c>
      <c r="B1130" s="1" t="s">
        <v>91</v>
      </c>
      <c r="C1130" s="4">
        <v>11</v>
      </c>
      <c r="D1130" s="8">
        <v>1.44</v>
      </c>
      <c r="E1130" s="4">
        <v>11</v>
      </c>
      <c r="F1130" s="8">
        <v>2.2000000000000002</v>
      </c>
      <c r="G1130" s="4">
        <v>0</v>
      </c>
      <c r="H1130" s="8">
        <v>0</v>
      </c>
      <c r="I1130" s="4">
        <v>0</v>
      </c>
    </row>
    <row r="1131" spans="1:9" x14ac:dyDescent="0.15">
      <c r="A1131" s="2">
        <v>17</v>
      </c>
      <c r="B1131" s="1" t="s">
        <v>106</v>
      </c>
      <c r="C1131" s="4">
        <v>8</v>
      </c>
      <c r="D1131" s="8">
        <v>1.05</v>
      </c>
      <c r="E1131" s="4">
        <v>2</v>
      </c>
      <c r="F1131" s="8">
        <v>0.4</v>
      </c>
      <c r="G1131" s="4">
        <v>6</v>
      </c>
      <c r="H1131" s="8">
        <v>2.31</v>
      </c>
      <c r="I1131" s="4">
        <v>0</v>
      </c>
    </row>
    <row r="1132" spans="1:9" x14ac:dyDescent="0.15">
      <c r="A1132" s="2">
        <v>17</v>
      </c>
      <c r="B1132" s="1" t="s">
        <v>105</v>
      </c>
      <c r="C1132" s="4">
        <v>8</v>
      </c>
      <c r="D1132" s="8">
        <v>1.05</v>
      </c>
      <c r="E1132" s="4">
        <v>2</v>
      </c>
      <c r="F1132" s="8">
        <v>0.4</v>
      </c>
      <c r="G1132" s="4">
        <v>6</v>
      </c>
      <c r="H1132" s="8">
        <v>2.31</v>
      </c>
      <c r="I1132" s="4">
        <v>0</v>
      </c>
    </row>
    <row r="1133" spans="1:9" x14ac:dyDescent="0.15">
      <c r="A1133" s="2">
        <v>19</v>
      </c>
      <c r="B1133" s="1" t="s">
        <v>107</v>
      </c>
      <c r="C1133" s="4">
        <v>7</v>
      </c>
      <c r="D1133" s="8">
        <v>0.92</v>
      </c>
      <c r="E1133" s="4">
        <v>2</v>
      </c>
      <c r="F1133" s="8">
        <v>0.4</v>
      </c>
      <c r="G1133" s="4">
        <v>5</v>
      </c>
      <c r="H1133" s="8">
        <v>1.92</v>
      </c>
      <c r="I1133" s="4">
        <v>0</v>
      </c>
    </row>
    <row r="1134" spans="1:9" x14ac:dyDescent="0.15">
      <c r="A1134" s="2">
        <v>19</v>
      </c>
      <c r="B1134" s="1" t="s">
        <v>115</v>
      </c>
      <c r="C1134" s="4">
        <v>7</v>
      </c>
      <c r="D1134" s="8">
        <v>0.92</v>
      </c>
      <c r="E1134" s="4">
        <v>2</v>
      </c>
      <c r="F1134" s="8">
        <v>0.4</v>
      </c>
      <c r="G1134" s="4">
        <v>5</v>
      </c>
      <c r="H1134" s="8">
        <v>1.92</v>
      </c>
      <c r="I1134" s="4">
        <v>0</v>
      </c>
    </row>
    <row r="1135" spans="1:9" x14ac:dyDescent="0.15">
      <c r="A1135" s="2">
        <v>19</v>
      </c>
      <c r="B1135" s="1" t="s">
        <v>104</v>
      </c>
      <c r="C1135" s="4">
        <v>7</v>
      </c>
      <c r="D1135" s="8">
        <v>0.92</v>
      </c>
      <c r="E1135" s="4">
        <v>3</v>
      </c>
      <c r="F1135" s="8">
        <v>0.6</v>
      </c>
      <c r="G1135" s="4">
        <v>4</v>
      </c>
      <c r="H1135" s="8">
        <v>1.54</v>
      </c>
      <c r="I1135" s="4">
        <v>0</v>
      </c>
    </row>
    <row r="1136" spans="1:9" x14ac:dyDescent="0.15">
      <c r="A1136" s="1"/>
      <c r="C1136" s="4"/>
      <c r="D1136" s="8"/>
      <c r="E1136" s="4"/>
      <c r="F1136" s="8"/>
      <c r="G1136" s="4"/>
      <c r="H1136" s="8"/>
      <c r="I1136" s="4"/>
    </row>
    <row r="1137" spans="1:9" x14ac:dyDescent="0.15">
      <c r="A1137" s="1" t="s">
        <v>51</v>
      </c>
      <c r="C1137" s="4"/>
      <c r="D1137" s="8"/>
      <c r="E1137" s="4"/>
      <c r="F1137" s="8"/>
      <c r="G1137" s="4"/>
      <c r="H1137" s="8"/>
      <c r="I1137" s="4"/>
    </row>
    <row r="1138" spans="1:9" x14ac:dyDescent="0.15">
      <c r="A1138" s="2">
        <v>1</v>
      </c>
      <c r="B1138" s="1" t="s">
        <v>96</v>
      </c>
      <c r="C1138" s="4">
        <v>122</v>
      </c>
      <c r="D1138" s="8">
        <v>19.93</v>
      </c>
      <c r="E1138" s="4">
        <v>101</v>
      </c>
      <c r="F1138" s="8">
        <v>26.86</v>
      </c>
      <c r="G1138" s="4">
        <v>21</v>
      </c>
      <c r="H1138" s="8">
        <v>8.94</v>
      </c>
      <c r="I1138" s="4">
        <v>0</v>
      </c>
    </row>
    <row r="1139" spans="1:9" x14ac:dyDescent="0.15">
      <c r="A1139" s="2">
        <v>2</v>
      </c>
      <c r="B1139" s="1" t="s">
        <v>100</v>
      </c>
      <c r="C1139" s="4">
        <v>64</v>
      </c>
      <c r="D1139" s="8">
        <v>10.46</v>
      </c>
      <c r="E1139" s="4">
        <v>50</v>
      </c>
      <c r="F1139" s="8">
        <v>13.3</v>
      </c>
      <c r="G1139" s="4">
        <v>14</v>
      </c>
      <c r="H1139" s="8">
        <v>5.96</v>
      </c>
      <c r="I1139" s="4">
        <v>0</v>
      </c>
    </row>
    <row r="1140" spans="1:9" x14ac:dyDescent="0.15">
      <c r="A1140" s="2">
        <v>3</v>
      </c>
      <c r="B1140" s="1" t="s">
        <v>99</v>
      </c>
      <c r="C1140" s="4">
        <v>51</v>
      </c>
      <c r="D1140" s="8">
        <v>8.33</v>
      </c>
      <c r="E1140" s="4">
        <v>44</v>
      </c>
      <c r="F1140" s="8">
        <v>11.7</v>
      </c>
      <c r="G1140" s="4">
        <v>7</v>
      </c>
      <c r="H1140" s="8">
        <v>2.98</v>
      </c>
      <c r="I1140" s="4">
        <v>0</v>
      </c>
    </row>
    <row r="1141" spans="1:9" x14ac:dyDescent="0.15">
      <c r="A1141" s="2">
        <v>4</v>
      </c>
      <c r="B1141" s="1" t="s">
        <v>92</v>
      </c>
      <c r="C1141" s="4">
        <v>47</v>
      </c>
      <c r="D1141" s="8">
        <v>7.68</v>
      </c>
      <c r="E1141" s="4">
        <v>31</v>
      </c>
      <c r="F1141" s="8">
        <v>8.24</v>
      </c>
      <c r="G1141" s="4">
        <v>16</v>
      </c>
      <c r="H1141" s="8">
        <v>6.81</v>
      </c>
      <c r="I1141" s="4">
        <v>0</v>
      </c>
    </row>
    <row r="1142" spans="1:9" x14ac:dyDescent="0.15">
      <c r="A1142" s="2">
        <v>5</v>
      </c>
      <c r="B1142" s="1" t="s">
        <v>94</v>
      </c>
      <c r="C1142" s="4">
        <v>45</v>
      </c>
      <c r="D1142" s="8">
        <v>7.35</v>
      </c>
      <c r="E1142" s="4">
        <v>22</v>
      </c>
      <c r="F1142" s="8">
        <v>5.85</v>
      </c>
      <c r="G1142" s="4">
        <v>23</v>
      </c>
      <c r="H1142" s="8">
        <v>9.7899999999999991</v>
      </c>
      <c r="I1142" s="4">
        <v>0</v>
      </c>
    </row>
    <row r="1143" spans="1:9" x14ac:dyDescent="0.15">
      <c r="A1143" s="2">
        <v>6</v>
      </c>
      <c r="B1143" s="1" t="s">
        <v>102</v>
      </c>
      <c r="C1143" s="4">
        <v>39</v>
      </c>
      <c r="D1143" s="8">
        <v>6.37</v>
      </c>
      <c r="E1143" s="4">
        <v>31</v>
      </c>
      <c r="F1143" s="8">
        <v>8.24</v>
      </c>
      <c r="G1143" s="4">
        <v>8</v>
      </c>
      <c r="H1143" s="8">
        <v>3.4</v>
      </c>
      <c r="I1143" s="4">
        <v>0</v>
      </c>
    </row>
    <row r="1144" spans="1:9" x14ac:dyDescent="0.15">
      <c r="A1144" s="2">
        <v>7</v>
      </c>
      <c r="B1144" s="1" t="s">
        <v>85</v>
      </c>
      <c r="C1144" s="4">
        <v>27</v>
      </c>
      <c r="D1144" s="8">
        <v>4.41</v>
      </c>
      <c r="E1144" s="4">
        <v>9</v>
      </c>
      <c r="F1144" s="8">
        <v>2.39</v>
      </c>
      <c r="G1144" s="4">
        <v>18</v>
      </c>
      <c r="H1144" s="8">
        <v>7.66</v>
      </c>
      <c r="I1144" s="4">
        <v>0</v>
      </c>
    </row>
    <row r="1145" spans="1:9" x14ac:dyDescent="0.15">
      <c r="A1145" s="2">
        <v>7</v>
      </c>
      <c r="B1145" s="1" t="s">
        <v>103</v>
      </c>
      <c r="C1145" s="4">
        <v>27</v>
      </c>
      <c r="D1145" s="8">
        <v>4.41</v>
      </c>
      <c r="E1145" s="4">
        <v>25</v>
      </c>
      <c r="F1145" s="8">
        <v>6.65</v>
      </c>
      <c r="G1145" s="4">
        <v>2</v>
      </c>
      <c r="H1145" s="8">
        <v>0.85</v>
      </c>
      <c r="I1145" s="4">
        <v>0</v>
      </c>
    </row>
    <row r="1146" spans="1:9" x14ac:dyDescent="0.15">
      <c r="A1146" s="2">
        <v>9</v>
      </c>
      <c r="B1146" s="1" t="s">
        <v>86</v>
      </c>
      <c r="C1146" s="4">
        <v>21</v>
      </c>
      <c r="D1146" s="8">
        <v>3.43</v>
      </c>
      <c r="E1146" s="4">
        <v>8</v>
      </c>
      <c r="F1146" s="8">
        <v>2.13</v>
      </c>
      <c r="G1146" s="4">
        <v>13</v>
      </c>
      <c r="H1146" s="8">
        <v>5.53</v>
      </c>
      <c r="I1146" s="4">
        <v>0</v>
      </c>
    </row>
    <row r="1147" spans="1:9" x14ac:dyDescent="0.15">
      <c r="A1147" s="2">
        <v>10</v>
      </c>
      <c r="B1147" s="1" t="s">
        <v>91</v>
      </c>
      <c r="C1147" s="4">
        <v>19</v>
      </c>
      <c r="D1147" s="8">
        <v>3.1</v>
      </c>
      <c r="E1147" s="4">
        <v>16</v>
      </c>
      <c r="F1147" s="8">
        <v>4.26</v>
      </c>
      <c r="G1147" s="4">
        <v>3</v>
      </c>
      <c r="H1147" s="8">
        <v>1.28</v>
      </c>
      <c r="I1147" s="4">
        <v>0</v>
      </c>
    </row>
    <row r="1148" spans="1:9" x14ac:dyDescent="0.15">
      <c r="A1148" s="2">
        <v>11</v>
      </c>
      <c r="B1148" s="1" t="s">
        <v>97</v>
      </c>
      <c r="C1148" s="4">
        <v>14</v>
      </c>
      <c r="D1148" s="8">
        <v>2.29</v>
      </c>
      <c r="E1148" s="4">
        <v>7</v>
      </c>
      <c r="F1148" s="8">
        <v>1.86</v>
      </c>
      <c r="G1148" s="4">
        <v>7</v>
      </c>
      <c r="H1148" s="8">
        <v>2.98</v>
      </c>
      <c r="I1148" s="4">
        <v>0</v>
      </c>
    </row>
    <row r="1149" spans="1:9" x14ac:dyDescent="0.15">
      <c r="A1149" s="2">
        <v>11</v>
      </c>
      <c r="B1149" s="1" t="s">
        <v>98</v>
      </c>
      <c r="C1149" s="4">
        <v>14</v>
      </c>
      <c r="D1149" s="8">
        <v>2.29</v>
      </c>
      <c r="E1149" s="4">
        <v>5</v>
      </c>
      <c r="F1149" s="8">
        <v>1.33</v>
      </c>
      <c r="G1149" s="4">
        <v>9</v>
      </c>
      <c r="H1149" s="8">
        <v>3.83</v>
      </c>
      <c r="I1149" s="4">
        <v>0</v>
      </c>
    </row>
    <row r="1150" spans="1:9" x14ac:dyDescent="0.15">
      <c r="A1150" s="2">
        <v>13</v>
      </c>
      <c r="B1150" s="1" t="s">
        <v>93</v>
      </c>
      <c r="C1150" s="4">
        <v>13</v>
      </c>
      <c r="D1150" s="8">
        <v>2.12</v>
      </c>
      <c r="E1150" s="4">
        <v>6</v>
      </c>
      <c r="F1150" s="8">
        <v>1.6</v>
      </c>
      <c r="G1150" s="4">
        <v>7</v>
      </c>
      <c r="H1150" s="8">
        <v>2.98</v>
      </c>
      <c r="I1150" s="4">
        <v>0</v>
      </c>
    </row>
    <row r="1151" spans="1:9" x14ac:dyDescent="0.15">
      <c r="A1151" s="2">
        <v>14</v>
      </c>
      <c r="B1151" s="1" t="s">
        <v>118</v>
      </c>
      <c r="C1151" s="4">
        <v>10</v>
      </c>
      <c r="D1151" s="8">
        <v>1.63</v>
      </c>
      <c r="E1151" s="4">
        <v>4</v>
      </c>
      <c r="F1151" s="8">
        <v>1.06</v>
      </c>
      <c r="G1151" s="4">
        <v>6</v>
      </c>
      <c r="H1151" s="8">
        <v>2.5499999999999998</v>
      </c>
      <c r="I1151" s="4">
        <v>0</v>
      </c>
    </row>
    <row r="1152" spans="1:9" x14ac:dyDescent="0.15">
      <c r="A1152" s="2">
        <v>15</v>
      </c>
      <c r="B1152" s="1" t="s">
        <v>95</v>
      </c>
      <c r="C1152" s="4">
        <v>9</v>
      </c>
      <c r="D1152" s="8">
        <v>1.47</v>
      </c>
      <c r="E1152" s="4">
        <v>0</v>
      </c>
      <c r="F1152" s="8">
        <v>0</v>
      </c>
      <c r="G1152" s="4">
        <v>9</v>
      </c>
      <c r="H1152" s="8">
        <v>3.83</v>
      </c>
      <c r="I1152" s="4">
        <v>0</v>
      </c>
    </row>
    <row r="1153" spans="1:9" x14ac:dyDescent="0.15">
      <c r="A1153" s="2">
        <v>16</v>
      </c>
      <c r="B1153" s="1" t="s">
        <v>87</v>
      </c>
      <c r="C1153" s="4">
        <v>8</v>
      </c>
      <c r="D1153" s="8">
        <v>1.31</v>
      </c>
      <c r="E1153" s="4">
        <v>1</v>
      </c>
      <c r="F1153" s="8">
        <v>0.27</v>
      </c>
      <c r="G1153" s="4">
        <v>7</v>
      </c>
      <c r="H1153" s="8">
        <v>2.98</v>
      </c>
      <c r="I1153" s="4">
        <v>0</v>
      </c>
    </row>
    <row r="1154" spans="1:9" x14ac:dyDescent="0.15">
      <c r="A1154" s="2">
        <v>17</v>
      </c>
      <c r="B1154" s="1" t="s">
        <v>101</v>
      </c>
      <c r="C1154" s="4">
        <v>7</v>
      </c>
      <c r="D1154" s="8">
        <v>1.1399999999999999</v>
      </c>
      <c r="E1154" s="4">
        <v>4</v>
      </c>
      <c r="F1154" s="8">
        <v>1.06</v>
      </c>
      <c r="G1154" s="4">
        <v>3</v>
      </c>
      <c r="H1154" s="8">
        <v>1.28</v>
      </c>
      <c r="I1154" s="4">
        <v>0</v>
      </c>
    </row>
    <row r="1155" spans="1:9" x14ac:dyDescent="0.15">
      <c r="A1155" s="2">
        <v>17</v>
      </c>
      <c r="B1155" s="1" t="s">
        <v>108</v>
      </c>
      <c r="C1155" s="4">
        <v>7</v>
      </c>
      <c r="D1155" s="8">
        <v>1.1399999999999999</v>
      </c>
      <c r="E1155" s="4">
        <v>0</v>
      </c>
      <c r="F1155" s="8">
        <v>0</v>
      </c>
      <c r="G1155" s="4">
        <v>7</v>
      </c>
      <c r="H1155" s="8">
        <v>2.98</v>
      </c>
      <c r="I1155" s="4">
        <v>0</v>
      </c>
    </row>
    <row r="1156" spans="1:9" x14ac:dyDescent="0.15">
      <c r="A1156" s="2">
        <v>19</v>
      </c>
      <c r="B1156" s="1" t="s">
        <v>89</v>
      </c>
      <c r="C1156" s="4">
        <v>6</v>
      </c>
      <c r="D1156" s="8">
        <v>0.98</v>
      </c>
      <c r="E1156" s="4">
        <v>0</v>
      </c>
      <c r="F1156" s="8">
        <v>0</v>
      </c>
      <c r="G1156" s="4">
        <v>6</v>
      </c>
      <c r="H1156" s="8">
        <v>2.5499999999999998</v>
      </c>
      <c r="I1156" s="4">
        <v>0</v>
      </c>
    </row>
    <row r="1157" spans="1:9" x14ac:dyDescent="0.15">
      <c r="A1157" s="2">
        <v>19</v>
      </c>
      <c r="B1157" s="1" t="s">
        <v>126</v>
      </c>
      <c r="C1157" s="4">
        <v>6</v>
      </c>
      <c r="D1157" s="8">
        <v>0.98</v>
      </c>
      <c r="E1157" s="4">
        <v>1</v>
      </c>
      <c r="F1157" s="8">
        <v>0.27</v>
      </c>
      <c r="G1157" s="4">
        <v>5</v>
      </c>
      <c r="H1157" s="8">
        <v>2.13</v>
      </c>
      <c r="I1157" s="4">
        <v>0</v>
      </c>
    </row>
    <row r="1158" spans="1:9" x14ac:dyDescent="0.15">
      <c r="A1158" s="1"/>
      <c r="C1158" s="4"/>
      <c r="D1158" s="8"/>
      <c r="E1158" s="4"/>
      <c r="F1158" s="8"/>
      <c r="G1158" s="4"/>
      <c r="H1158" s="8"/>
      <c r="I1158" s="4"/>
    </row>
    <row r="1159" spans="1:9" x14ac:dyDescent="0.15">
      <c r="A1159" s="1" t="s">
        <v>52</v>
      </c>
      <c r="C1159" s="4"/>
      <c r="D1159" s="8"/>
      <c r="E1159" s="4"/>
      <c r="F1159" s="8"/>
      <c r="G1159" s="4"/>
      <c r="H1159" s="8"/>
      <c r="I1159" s="4"/>
    </row>
    <row r="1160" spans="1:9" x14ac:dyDescent="0.15">
      <c r="A1160" s="2">
        <v>1</v>
      </c>
      <c r="B1160" s="1" t="s">
        <v>85</v>
      </c>
      <c r="C1160" s="4">
        <v>30</v>
      </c>
      <c r="D1160" s="8">
        <v>11.86</v>
      </c>
      <c r="E1160" s="4">
        <v>6</v>
      </c>
      <c r="F1160" s="8">
        <v>6.06</v>
      </c>
      <c r="G1160" s="4">
        <v>24</v>
      </c>
      <c r="H1160" s="8">
        <v>15.58</v>
      </c>
      <c r="I1160" s="4">
        <v>0</v>
      </c>
    </row>
    <row r="1161" spans="1:9" x14ac:dyDescent="0.15">
      <c r="A1161" s="2">
        <v>2</v>
      </c>
      <c r="B1161" s="1" t="s">
        <v>96</v>
      </c>
      <c r="C1161" s="4">
        <v>23</v>
      </c>
      <c r="D1161" s="8">
        <v>9.09</v>
      </c>
      <c r="E1161" s="4">
        <v>13</v>
      </c>
      <c r="F1161" s="8">
        <v>13.13</v>
      </c>
      <c r="G1161" s="4">
        <v>10</v>
      </c>
      <c r="H1161" s="8">
        <v>6.49</v>
      </c>
      <c r="I1161" s="4">
        <v>0</v>
      </c>
    </row>
    <row r="1162" spans="1:9" x14ac:dyDescent="0.15">
      <c r="A1162" s="2">
        <v>3</v>
      </c>
      <c r="B1162" s="1" t="s">
        <v>86</v>
      </c>
      <c r="C1162" s="4">
        <v>22</v>
      </c>
      <c r="D1162" s="8">
        <v>8.6999999999999993</v>
      </c>
      <c r="E1162" s="4">
        <v>8</v>
      </c>
      <c r="F1162" s="8">
        <v>8.08</v>
      </c>
      <c r="G1162" s="4">
        <v>14</v>
      </c>
      <c r="H1162" s="8">
        <v>9.09</v>
      </c>
      <c r="I1162" s="4">
        <v>0</v>
      </c>
    </row>
    <row r="1163" spans="1:9" x14ac:dyDescent="0.15">
      <c r="A1163" s="2">
        <v>4</v>
      </c>
      <c r="B1163" s="1" t="s">
        <v>100</v>
      </c>
      <c r="C1163" s="4">
        <v>19</v>
      </c>
      <c r="D1163" s="8">
        <v>7.51</v>
      </c>
      <c r="E1163" s="4">
        <v>17</v>
      </c>
      <c r="F1163" s="8">
        <v>17.170000000000002</v>
      </c>
      <c r="G1163" s="4">
        <v>2</v>
      </c>
      <c r="H1163" s="8">
        <v>1.3</v>
      </c>
      <c r="I1163" s="4">
        <v>0</v>
      </c>
    </row>
    <row r="1164" spans="1:9" x14ac:dyDescent="0.15">
      <c r="A1164" s="2">
        <v>5</v>
      </c>
      <c r="B1164" s="1" t="s">
        <v>88</v>
      </c>
      <c r="C1164" s="4">
        <v>13</v>
      </c>
      <c r="D1164" s="8">
        <v>5.14</v>
      </c>
      <c r="E1164" s="4">
        <v>2</v>
      </c>
      <c r="F1164" s="8">
        <v>2.02</v>
      </c>
      <c r="G1164" s="4">
        <v>11</v>
      </c>
      <c r="H1164" s="8">
        <v>7.14</v>
      </c>
      <c r="I1164" s="4">
        <v>0</v>
      </c>
    </row>
    <row r="1165" spans="1:9" x14ac:dyDescent="0.15">
      <c r="A1165" s="2">
        <v>5</v>
      </c>
      <c r="B1165" s="1" t="s">
        <v>93</v>
      </c>
      <c r="C1165" s="4">
        <v>13</v>
      </c>
      <c r="D1165" s="8">
        <v>5.14</v>
      </c>
      <c r="E1165" s="4">
        <v>4</v>
      </c>
      <c r="F1165" s="8">
        <v>4.04</v>
      </c>
      <c r="G1165" s="4">
        <v>9</v>
      </c>
      <c r="H1165" s="8">
        <v>5.84</v>
      </c>
      <c r="I1165" s="4">
        <v>0</v>
      </c>
    </row>
    <row r="1166" spans="1:9" x14ac:dyDescent="0.15">
      <c r="A1166" s="2">
        <v>7</v>
      </c>
      <c r="B1166" s="1" t="s">
        <v>87</v>
      </c>
      <c r="C1166" s="4">
        <v>12</v>
      </c>
      <c r="D1166" s="8">
        <v>4.74</v>
      </c>
      <c r="E1166" s="4">
        <v>4</v>
      </c>
      <c r="F1166" s="8">
        <v>4.04</v>
      </c>
      <c r="G1166" s="4">
        <v>8</v>
      </c>
      <c r="H1166" s="8">
        <v>5.19</v>
      </c>
      <c r="I1166" s="4">
        <v>0</v>
      </c>
    </row>
    <row r="1167" spans="1:9" x14ac:dyDescent="0.15">
      <c r="A1167" s="2">
        <v>8</v>
      </c>
      <c r="B1167" s="1" t="s">
        <v>99</v>
      </c>
      <c r="C1167" s="4">
        <v>9</v>
      </c>
      <c r="D1167" s="8">
        <v>3.56</v>
      </c>
      <c r="E1167" s="4">
        <v>6</v>
      </c>
      <c r="F1167" s="8">
        <v>6.06</v>
      </c>
      <c r="G1167" s="4">
        <v>3</v>
      </c>
      <c r="H1167" s="8">
        <v>1.95</v>
      </c>
      <c r="I1167" s="4">
        <v>0</v>
      </c>
    </row>
    <row r="1168" spans="1:9" x14ac:dyDescent="0.15">
      <c r="A1168" s="2">
        <v>9</v>
      </c>
      <c r="B1168" s="1" t="s">
        <v>92</v>
      </c>
      <c r="C1168" s="4">
        <v>8</v>
      </c>
      <c r="D1168" s="8">
        <v>3.16</v>
      </c>
      <c r="E1168" s="4">
        <v>6</v>
      </c>
      <c r="F1168" s="8">
        <v>6.06</v>
      </c>
      <c r="G1168" s="4">
        <v>2</v>
      </c>
      <c r="H1168" s="8">
        <v>1.3</v>
      </c>
      <c r="I1168" s="4">
        <v>0</v>
      </c>
    </row>
    <row r="1169" spans="1:9" x14ac:dyDescent="0.15">
      <c r="A1169" s="2">
        <v>9</v>
      </c>
      <c r="B1169" s="1" t="s">
        <v>94</v>
      </c>
      <c r="C1169" s="4">
        <v>8</v>
      </c>
      <c r="D1169" s="8">
        <v>3.16</v>
      </c>
      <c r="E1169" s="4">
        <v>4</v>
      </c>
      <c r="F1169" s="8">
        <v>4.04</v>
      </c>
      <c r="G1169" s="4">
        <v>4</v>
      </c>
      <c r="H1169" s="8">
        <v>2.6</v>
      </c>
      <c r="I1169" s="4">
        <v>0</v>
      </c>
    </row>
    <row r="1170" spans="1:9" x14ac:dyDescent="0.15">
      <c r="A1170" s="2">
        <v>11</v>
      </c>
      <c r="B1170" s="1" t="s">
        <v>89</v>
      </c>
      <c r="C1170" s="4">
        <v>7</v>
      </c>
      <c r="D1170" s="8">
        <v>2.77</v>
      </c>
      <c r="E1170" s="4">
        <v>3</v>
      </c>
      <c r="F1170" s="8">
        <v>3.03</v>
      </c>
      <c r="G1170" s="4">
        <v>4</v>
      </c>
      <c r="H1170" s="8">
        <v>2.6</v>
      </c>
      <c r="I1170" s="4">
        <v>0</v>
      </c>
    </row>
    <row r="1171" spans="1:9" x14ac:dyDescent="0.15">
      <c r="A1171" s="2">
        <v>11</v>
      </c>
      <c r="B1171" s="1" t="s">
        <v>118</v>
      </c>
      <c r="C1171" s="4">
        <v>7</v>
      </c>
      <c r="D1171" s="8">
        <v>2.77</v>
      </c>
      <c r="E1171" s="4">
        <v>1</v>
      </c>
      <c r="F1171" s="8">
        <v>1.01</v>
      </c>
      <c r="G1171" s="4">
        <v>6</v>
      </c>
      <c r="H1171" s="8">
        <v>3.9</v>
      </c>
      <c r="I1171" s="4">
        <v>0</v>
      </c>
    </row>
    <row r="1172" spans="1:9" x14ac:dyDescent="0.15">
      <c r="A1172" s="2">
        <v>11</v>
      </c>
      <c r="B1172" s="1" t="s">
        <v>117</v>
      </c>
      <c r="C1172" s="4">
        <v>7</v>
      </c>
      <c r="D1172" s="8">
        <v>2.77</v>
      </c>
      <c r="E1172" s="4">
        <v>2</v>
      </c>
      <c r="F1172" s="8">
        <v>2.02</v>
      </c>
      <c r="G1172" s="4">
        <v>5</v>
      </c>
      <c r="H1172" s="8">
        <v>3.25</v>
      </c>
      <c r="I1172" s="4">
        <v>0</v>
      </c>
    </row>
    <row r="1173" spans="1:9" x14ac:dyDescent="0.15">
      <c r="A1173" s="2">
        <v>14</v>
      </c>
      <c r="B1173" s="1" t="s">
        <v>123</v>
      </c>
      <c r="C1173" s="4">
        <v>6</v>
      </c>
      <c r="D1173" s="8">
        <v>2.37</v>
      </c>
      <c r="E1173" s="4">
        <v>2</v>
      </c>
      <c r="F1173" s="8">
        <v>2.02</v>
      </c>
      <c r="G1173" s="4">
        <v>4</v>
      </c>
      <c r="H1173" s="8">
        <v>2.6</v>
      </c>
      <c r="I1173" s="4">
        <v>0</v>
      </c>
    </row>
    <row r="1174" spans="1:9" x14ac:dyDescent="0.15">
      <c r="A1174" s="2">
        <v>14</v>
      </c>
      <c r="B1174" s="1" t="s">
        <v>106</v>
      </c>
      <c r="C1174" s="4">
        <v>6</v>
      </c>
      <c r="D1174" s="8">
        <v>2.37</v>
      </c>
      <c r="E1174" s="4">
        <v>1</v>
      </c>
      <c r="F1174" s="8">
        <v>1.01</v>
      </c>
      <c r="G1174" s="4">
        <v>5</v>
      </c>
      <c r="H1174" s="8">
        <v>3.25</v>
      </c>
      <c r="I1174" s="4">
        <v>0</v>
      </c>
    </row>
    <row r="1175" spans="1:9" x14ac:dyDescent="0.15">
      <c r="A1175" s="2">
        <v>16</v>
      </c>
      <c r="B1175" s="1" t="s">
        <v>107</v>
      </c>
      <c r="C1175" s="4">
        <v>5</v>
      </c>
      <c r="D1175" s="8">
        <v>1.98</v>
      </c>
      <c r="E1175" s="4">
        <v>2</v>
      </c>
      <c r="F1175" s="8">
        <v>2.02</v>
      </c>
      <c r="G1175" s="4">
        <v>3</v>
      </c>
      <c r="H1175" s="8">
        <v>1.95</v>
      </c>
      <c r="I1175" s="4">
        <v>0</v>
      </c>
    </row>
    <row r="1176" spans="1:9" x14ac:dyDescent="0.15">
      <c r="A1176" s="2">
        <v>16</v>
      </c>
      <c r="B1176" s="1" t="s">
        <v>103</v>
      </c>
      <c r="C1176" s="4">
        <v>5</v>
      </c>
      <c r="D1176" s="8">
        <v>1.98</v>
      </c>
      <c r="E1176" s="4">
        <v>4</v>
      </c>
      <c r="F1176" s="8">
        <v>4.04</v>
      </c>
      <c r="G1176" s="4">
        <v>1</v>
      </c>
      <c r="H1176" s="8">
        <v>0.65</v>
      </c>
      <c r="I1176" s="4">
        <v>0</v>
      </c>
    </row>
    <row r="1177" spans="1:9" x14ac:dyDescent="0.15">
      <c r="A1177" s="2">
        <v>18</v>
      </c>
      <c r="B1177" s="1" t="s">
        <v>124</v>
      </c>
      <c r="C1177" s="4">
        <v>4</v>
      </c>
      <c r="D1177" s="8">
        <v>1.58</v>
      </c>
      <c r="E1177" s="4">
        <v>3</v>
      </c>
      <c r="F1177" s="8">
        <v>3.03</v>
      </c>
      <c r="G1177" s="4">
        <v>1</v>
      </c>
      <c r="H1177" s="8">
        <v>0.65</v>
      </c>
      <c r="I1177" s="4">
        <v>0</v>
      </c>
    </row>
    <row r="1178" spans="1:9" x14ac:dyDescent="0.15">
      <c r="A1178" s="2">
        <v>18</v>
      </c>
      <c r="B1178" s="1" t="s">
        <v>95</v>
      </c>
      <c r="C1178" s="4">
        <v>4</v>
      </c>
      <c r="D1178" s="8">
        <v>1.58</v>
      </c>
      <c r="E1178" s="4">
        <v>1</v>
      </c>
      <c r="F1178" s="8">
        <v>1.01</v>
      </c>
      <c r="G1178" s="4">
        <v>3</v>
      </c>
      <c r="H1178" s="8">
        <v>1.95</v>
      </c>
      <c r="I1178" s="4">
        <v>0</v>
      </c>
    </row>
    <row r="1179" spans="1:9" x14ac:dyDescent="0.15">
      <c r="A1179" s="2">
        <v>18</v>
      </c>
      <c r="B1179" s="1" t="s">
        <v>98</v>
      </c>
      <c r="C1179" s="4">
        <v>4</v>
      </c>
      <c r="D1179" s="8">
        <v>1.58</v>
      </c>
      <c r="E1179" s="4">
        <v>0</v>
      </c>
      <c r="F1179" s="8">
        <v>0</v>
      </c>
      <c r="G1179" s="4">
        <v>4</v>
      </c>
      <c r="H1179" s="8">
        <v>2.6</v>
      </c>
      <c r="I1179" s="4">
        <v>0</v>
      </c>
    </row>
    <row r="1180" spans="1:9" x14ac:dyDescent="0.15">
      <c r="A1180" s="2">
        <v>18</v>
      </c>
      <c r="B1180" s="1" t="s">
        <v>102</v>
      </c>
      <c r="C1180" s="4">
        <v>4</v>
      </c>
      <c r="D1180" s="8">
        <v>1.58</v>
      </c>
      <c r="E1180" s="4">
        <v>3</v>
      </c>
      <c r="F1180" s="8">
        <v>3.03</v>
      </c>
      <c r="G1180" s="4">
        <v>1</v>
      </c>
      <c r="H1180" s="8">
        <v>0.65</v>
      </c>
      <c r="I1180" s="4">
        <v>0</v>
      </c>
    </row>
    <row r="1181" spans="1:9" x14ac:dyDescent="0.15">
      <c r="A1181" s="1"/>
      <c r="C1181" s="4"/>
      <c r="D1181" s="8"/>
      <c r="E1181" s="4"/>
      <c r="F1181" s="8"/>
      <c r="G1181" s="4"/>
      <c r="H1181" s="8"/>
      <c r="I1181" s="4"/>
    </row>
    <row r="1182" spans="1:9" x14ac:dyDescent="0.15">
      <c r="A1182" s="1" t="s">
        <v>53</v>
      </c>
      <c r="C1182" s="4"/>
      <c r="D1182" s="8"/>
      <c r="E1182" s="4"/>
      <c r="F1182" s="8"/>
      <c r="G1182" s="4"/>
      <c r="H1182" s="8"/>
      <c r="I1182" s="4"/>
    </row>
    <row r="1183" spans="1:9" x14ac:dyDescent="0.15">
      <c r="A1183" s="2">
        <v>1</v>
      </c>
      <c r="B1183" s="1" t="s">
        <v>96</v>
      </c>
      <c r="C1183" s="4">
        <v>99</v>
      </c>
      <c r="D1183" s="8">
        <v>23.52</v>
      </c>
      <c r="E1183" s="4">
        <v>75</v>
      </c>
      <c r="F1183" s="8">
        <v>29.53</v>
      </c>
      <c r="G1183" s="4">
        <v>24</v>
      </c>
      <c r="H1183" s="8">
        <v>14.46</v>
      </c>
      <c r="I1183" s="4">
        <v>0</v>
      </c>
    </row>
    <row r="1184" spans="1:9" x14ac:dyDescent="0.15">
      <c r="A1184" s="2">
        <v>2</v>
      </c>
      <c r="B1184" s="1" t="s">
        <v>99</v>
      </c>
      <c r="C1184" s="4">
        <v>44</v>
      </c>
      <c r="D1184" s="8">
        <v>10.45</v>
      </c>
      <c r="E1184" s="4">
        <v>40</v>
      </c>
      <c r="F1184" s="8">
        <v>15.75</v>
      </c>
      <c r="G1184" s="4">
        <v>3</v>
      </c>
      <c r="H1184" s="8">
        <v>1.81</v>
      </c>
      <c r="I1184" s="4">
        <v>1</v>
      </c>
    </row>
    <row r="1185" spans="1:9" x14ac:dyDescent="0.15">
      <c r="A1185" s="2">
        <v>3</v>
      </c>
      <c r="B1185" s="1" t="s">
        <v>85</v>
      </c>
      <c r="C1185" s="4">
        <v>36</v>
      </c>
      <c r="D1185" s="8">
        <v>8.5500000000000007</v>
      </c>
      <c r="E1185" s="4">
        <v>13</v>
      </c>
      <c r="F1185" s="8">
        <v>5.12</v>
      </c>
      <c r="G1185" s="4">
        <v>23</v>
      </c>
      <c r="H1185" s="8">
        <v>13.86</v>
      </c>
      <c r="I1185" s="4">
        <v>0</v>
      </c>
    </row>
    <row r="1186" spans="1:9" x14ac:dyDescent="0.15">
      <c r="A1186" s="2">
        <v>4</v>
      </c>
      <c r="B1186" s="1" t="s">
        <v>100</v>
      </c>
      <c r="C1186" s="4">
        <v>30</v>
      </c>
      <c r="D1186" s="8">
        <v>7.13</v>
      </c>
      <c r="E1186" s="4">
        <v>26</v>
      </c>
      <c r="F1186" s="8">
        <v>10.24</v>
      </c>
      <c r="G1186" s="4">
        <v>4</v>
      </c>
      <c r="H1186" s="8">
        <v>2.41</v>
      </c>
      <c r="I1186" s="4">
        <v>0</v>
      </c>
    </row>
    <row r="1187" spans="1:9" x14ac:dyDescent="0.15">
      <c r="A1187" s="2">
        <v>5</v>
      </c>
      <c r="B1187" s="1" t="s">
        <v>86</v>
      </c>
      <c r="C1187" s="4">
        <v>24</v>
      </c>
      <c r="D1187" s="8">
        <v>5.7</v>
      </c>
      <c r="E1187" s="4">
        <v>13</v>
      </c>
      <c r="F1187" s="8">
        <v>5.12</v>
      </c>
      <c r="G1187" s="4">
        <v>11</v>
      </c>
      <c r="H1187" s="8">
        <v>6.63</v>
      </c>
      <c r="I1187" s="4">
        <v>0</v>
      </c>
    </row>
    <row r="1188" spans="1:9" x14ac:dyDescent="0.15">
      <c r="A1188" s="2">
        <v>6</v>
      </c>
      <c r="B1188" s="1" t="s">
        <v>87</v>
      </c>
      <c r="C1188" s="4">
        <v>17</v>
      </c>
      <c r="D1188" s="8">
        <v>4.04</v>
      </c>
      <c r="E1188" s="4">
        <v>3</v>
      </c>
      <c r="F1188" s="8">
        <v>1.18</v>
      </c>
      <c r="G1188" s="4">
        <v>14</v>
      </c>
      <c r="H1188" s="8">
        <v>8.43</v>
      </c>
      <c r="I1188" s="4">
        <v>0</v>
      </c>
    </row>
    <row r="1189" spans="1:9" x14ac:dyDescent="0.15">
      <c r="A1189" s="2">
        <v>7</v>
      </c>
      <c r="B1189" s="1" t="s">
        <v>92</v>
      </c>
      <c r="C1189" s="4">
        <v>16</v>
      </c>
      <c r="D1189" s="8">
        <v>3.8</v>
      </c>
      <c r="E1189" s="4">
        <v>13</v>
      </c>
      <c r="F1189" s="8">
        <v>5.12</v>
      </c>
      <c r="G1189" s="4">
        <v>3</v>
      </c>
      <c r="H1189" s="8">
        <v>1.81</v>
      </c>
      <c r="I1189" s="4">
        <v>0</v>
      </c>
    </row>
    <row r="1190" spans="1:9" x14ac:dyDescent="0.15">
      <c r="A1190" s="2">
        <v>8</v>
      </c>
      <c r="B1190" s="1" t="s">
        <v>94</v>
      </c>
      <c r="C1190" s="4">
        <v>14</v>
      </c>
      <c r="D1190" s="8">
        <v>3.33</v>
      </c>
      <c r="E1190" s="4">
        <v>8</v>
      </c>
      <c r="F1190" s="8">
        <v>3.15</v>
      </c>
      <c r="G1190" s="4">
        <v>6</v>
      </c>
      <c r="H1190" s="8">
        <v>3.61</v>
      </c>
      <c r="I1190" s="4">
        <v>0</v>
      </c>
    </row>
    <row r="1191" spans="1:9" x14ac:dyDescent="0.15">
      <c r="A1191" s="2">
        <v>8</v>
      </c>
      <c r="B1191" s="1" t="s">
        <v>103</v>
      </c>
      <c r="C1191" s="4">
        <v>14</v>
      </c>
      <c r="D1191" s="8">
        <v>3.33</v>
      </c>
      <c r="E1191" s="4">
        <v>11</v>
      </c>
      <c r="F1191" s="8">
        <v>4.33</v>
      </c>
      <c r="G1191" s="4">
        <v>3</v>
      </c>
      <c r="H1191" s="8">
        <v>1.81</v>
      </c>
      <c r="I1191" s="4">
        <v>0</v>
      </c>
    </row>
    <row r="1192" spans="1:9" x14ac:dyDescent="0.15">
      <c r="A1192" s="2">
        <v>10</v>
      </c>
      <c r="B1192" s="1" t="s">
        <v>93</v>
      </c>
      <c r="C1192" s="4">
        <v>13</v>
      </c>
      <c r="D1192" s="8">
        <v>3.09</v>
      </c>
      <c r="E1192" s="4">
        <v>9</v>
      </c>
      <c r="F1192" s="8">
        <v>3.54</v>
      </c>
      <c r="G1192" s="4">
        <v>4</v>
      </c>
      <c r="H1192" s="8">
        <v>2.41</v>
      </c>
      <c r="I1192" s="4">
        <v>0</v>
      </c>
    </row>
    <row r="1193" spans="1:9" x14ac:dyDescent="0.15">
      <c r="A1193" s="2">
        <v>11</v>
      </c>
      <c r="B1193" s="1" t="s">
        <v>102</v>
      </c>
      <c r="C1193" s="4">
        <v>9</v>
      </c>
      <c r="D1193" s="8">
        <v>2.14</v>
      </c>
      <c r="E1193" s="4">
        <v>8</v>
      </c>
      <c r="F1193" s="8">
        <v>3.15</v>
      </c>
      <c r="G1193" s="4">
        <v>1</v>
      </c>
      <c r="H1193" s="8">
        <v>0.6</v>
      </c>
      <c r="I1193" s="4">
        <v>0</v>
      </c>
    </row>
    <row r="1194" spans="1:9" x14ac:dyDescent="0.15">
      <c r="A1194" s="2">
        <v>12</v>
      </c>
      <c r="B1194" s="1" t="s">
        <v>106</v>
      </c>
      <c r="C1194" s="4">
        <v>7</v>
      </c>
      <c r="D1194" s="8">
        <v>1.66</v>
      </c>
      <c r="E1194" s="4">
        <v>3</v>
      </c>
      <c r="F1194" s="8">
        <v>1.18</v>
      </c>
      <c r="G1194" s="4">
        <v>4</v>
      </c>
      <c r="H1194" s="8">
        <v>2.41</v>
      </c>
      <c r="I1194" s="4">
        <v>0</v>
      </c>
    </row>
    <row r="1195" spans="1:9" x14ac:dyDescent="0.15">
      <c r="A1195" s="2">
        <v>12</v>
      </c>
      <c r="B1195" s="1" t="s">
        <v>98</v>
      </c>
      <c r="C1195" s="4">
        <v>7</v>
      </c>
      <c r="D1195" s="8">
        <v>1.66</v>
      </c>
      <c r="E1195" s="4">
        <v>4</v>
      </c>
      <c r="F1195" s="8">
        <v>1.57</v>
      </c>
      <c r="G1195" s="4">
        <v>3</v>
      </c>
      <c r="H1195" s="8">
        <v>1.81</v>
      </c>
      <c r="I1195" s="4">
        <v>0</v>
      </c>
    </row>
    <row r="1196" spans="1:9" x14ac:dyDescent="0.15">
      <c r="A1196" s="2">
        <v>12</v>
      </c>
      <c r="B1196" s="1" t="s">
        <v>104</v>
      </c>
      <c r="C1196" s="4">
        <v>7</v>
      </c>
      <c r="D1196" s="8">
        <v>1.66</v>
      </c>
      <c r="E1196" s="4">
        <v>2</v>
      </c>
      <c r="F1196" s="8">
        <v>0.79</v>
      </c>
      <c r="G1196" s="4">
        <v>5</v>
      </c>
      <c r="H1196" s="8">
        <v>3.01</v>
      </c>
      <c r="I1196" s="4">
        <v>0</v>
      </c>
    </row>
    <row r="1197" spans="1:9" x14ac:dyDescent="0.15">
      <c r="A1197" s="2">
        <v>15</v>
      </c>
      <c r="B1197" s="1" t="s">
        <v>122</v>
      </c>
      <c r="C1197" s="4">
        <v>6</v>
      </c>
      <c r="D1197" s="8">
        <v>1.43</v>
      </c>
      <c r="E1197" s="4">
        <v>3</v>
      </c>
      <c r="F1197" s="8">
        <v>1.18</v>
      </c>
      <c r="G1197" s="4">
        <v>3</v>
      </c>
      <c r="H1197" s="8">
        <v>1.81</v>
      </c>
      <c r="I1197" s="4">
        <v>0</v>
      </c>
    </row>
    <row r="1198" spans="1:9" x14ac:dyDescent="0.15">
      <c r="A1198" s="2">
        <v>15</v>
      </c>
      <c r="B1198" s="1" t="s">
        <v>105</v>
      </c>
      <c r="C1198" s="4">
        <v>6</v>
      </c>
      <c r="D1198" s="8">
        <v>1.43</v>
      </c>
      <c r="E1198" s="4">
        <v>2</v>
      </c>
      <c r="F1198" s="8">
        <v>0.79</v>
      </c>
      <c r="G1198" s="4">
        <v>4</v>
      </c>
      <c r="H1198" s="8">
        <v>2.41</v>
      </c>
      <c r="I1198" s="4">
        <v>0</v>
      </c>
    </row>
    <row r="1199" spans="1:9" x14ac:dyDescent="0.15">
      <c r="A1199" s="2">
        <v>15</v>
      </c>
      <c r="B1199" s="1" t="s">
        <v>116</v>
      </c>
      <c r="C1199" s="4">
        <v>6</v>
      </c>
      <c r="D1199" s="8">
        <v>1.43</v>
      </c>
      <c r="E1199" s="4">
        <v>2</v>
      </c>
      <c r="F1199" s="8">
        <v>0.79</v>
      </c>
      <c r="G1199" s="4">
        <v>4</v>
      </c>
      <c r="H1199" s="8">
        <v>2.41</v>
      </c>
      <c r="I1199" s="4">
        <v>0</v>
      </c>
    </row>
    <row r="1200" spans="1:9" x14ac:dyDescent="0.15">
      <c r="A1200" s="2">
        <v>18</v>
      </c>
      <c r="B1200" s="1" t="s">
        <v>91</v>
      </c>
      <c r="C1200" s="4">
        <v>5</v>
      </c>
      <c r="D1200" s="8">
        <v>1.19</v>
      </c>
      <c r="E1200" s="4">
        <v>4</v>
      </c>
      <c r="F1200" s="8">
        <v>1.57</v>
      </c>
      <c r="G1200" s="4">
        <v>1</v>
      </c>
      <c r="H1200" s="8">
        <v>0.6</v>
      </c>
      <c r="I1200" s="4">
        <v>0</v>
      </c>
    </row>
    <row r="1201" spans="1:9" x14ac:dyDescent="0.15">
      <c r="A1201" s="2">
        <v>18</v>
      </c>
      <c r="B1201" s="1" t="s">
        <v>97</v>
      </c>
      <c r="C1201" s="4">
        <v>5</v>
      </c>
      <c r="D1201" s="8">
        <v>1.19</v>
      </c>
      <c r="E1201" s="4">
        <v>2</v>
      </c>
      <c r="F1201" s="8">
        <v>0.79</v>
      </c>
      <c r="G1201" s="4">
        <v>3</v>
      </c>
      <c r="H1201" s="8">
        <v>1.81</v>
      </c>
      <c r="I1201" s="4">
        <v>0</v>
      </c>
    </row>
    <row r="1202" spans="1:9" x14ac:dyDescent="0.15">
      <c r="A1202" s="2">
        <v>20</v>
      </c>
      <c r="B1202" s="1" t="s">
        <v>101</v>
      </c>
      <c r="C1202" s="4">
        <v>4</v>
      </c>
      <c r="D1202" s="8">
        <v>0.95</v>
      </c>
      <c r="E1202" s="4">
        <v>1</v>
      </c>
      <c r="F1202" s="8">
        <v>0.39</v>
      </c>
      <c r="G1202" s="4">
        <v>3</v>
      </c>
      <c r="H1202" s="8">
        <v>1.81</v>
      </c>
      <c r="I1202" s="4">
        <v>0</v>
      </c>
    </row>
    <row r="1203" spans="1:9" x14ac:dyDescent="0.15">
      <c r="A1203" s="2">
        <v>20</v>
      </c>
      <c r="B1203" s="1" t="s">
        <v>108</v>
      </c>
      <c r="C1203" s="4">
        <v>4</v>
      </c>
      <c r="D1203" s="8">
        <v>0.95</v>
      </c>
      <c r="E1203" s="4">
        <v>0</v>
      </c>
      <c r="F1203" s="8">
        <v>0</v>
      </c>
      <c r="G1203" s="4">
        <v>4</v>
      </c>
      <c r="H1203" s="8">
        <v>2.41</v>
      </c>
      <c r="I1203" s="4">
        <v>0</v>
      </c>
    </row>
    <row r="1204" spans="1:9" x14ac:dyDescent="0.15">
      <c r="A1204" s="2">
        <v>20</v>
      </c>
      <c r="B1204" s="1" t="s">
        <v>117</v>
      </c>
      <c r="C1204" s="4">
        <v>4</v>
      </c>
      <c r="D1204" s="8">
        <v>0.95</v>
      </c>
      <c r="E1204" s="4">
        <v>2</v>
      </c>
      <c r="F1204" s="8">
        <v>0.79</v>
      </c>
      <c r="G1204" s="4">
        <v>2</v>
      </c>
      <c r="H1204" s="8">
        <v>1.2</v>
      </c>
      <c r="I1204" s="4">
        <v>0</v>
      </c>
    </row>
    <row r="1205" spans="1:9" x14ac:dyDescent="0.15">
      <c r="A1205" s="1"/>
      <c r="C1205" s="4"/>
      <c r="D1205" s="8"/>
      <c r="E1205" s="4"/>
      <c r="F1205" s="8"/>
      <c r="G1205" s="4"/>
      <c r="H1205" s="8"/>
      <c r="I1205" s="4"/>
    </row>
    <row r="1206" spans="1:9" x14ac:dyDescent="0.15">
      <c r="A1206" s="1" t="s">
        <v>54</v>
      </c>
      <c r="C1206" s="4"/>
      <c r="D1206" s="8"/>
      <c r="E1206" s="4"/>
      <c r="F1206" s="8"/>
      <c r="G1206" s="4"/>
      <c r="H1206" s="8"/>
      <c r="I1206" s="4"/>
    </row>
    <row r="1207" spans="1:9" x14ac:dyDescent="0.15">
      <c r="A1207" s="2">
        <v>1</v>
      </c>
      <c r="B1207" s="1" t="s">
        <v>96</v>
      </c>
      <c r="C1207" s="4">
        <v>110</v>
      </c>
      <c r="D1207" s="8">
        <v>29.65</v>
      </c>
      <c r="E1207" s="4">
        <v>94</v>
      </c>
      <c r="F1207" s="8">
        <v>36.72</v>
      </c>
      <c r="G1207" s="4">
        <v>16</v>
      </c>
      <c r="H1207" s="8">
        <v>13.91</v>
      </c>
      <c r="I1207" s="4">
        <v>0</v>
      </c>
    </row>
    <row r="1208" spans="1:9" x14ac:dyDescent="0.15">
      <c r="A1208" s="2">
        <v>2</v>
      </c>
      <c r="B1208" s="1" t="s">
        <v>99</v>
      </c>
      <c r="C1208" s="4">
        <v>44</v>
      </c>
      <c r="D1208" s="8">
        <v>11.86</v>
      </c>
      <c r="E1208" s="4">
        <v>40</v>
      </c>
      <c r="F1208" s="8">
        <v>15.63</v>
      </c>
      <c r="G1208" s="4">
        <v>4</v>
      </c>
      <c r="H1208" s="8">
        <v>3.48</v>
      </c>
      <c r="I1208" s="4">
        <v>0</v>
      </c>
    </row>
    <row r="1209" spans="1:9" x14ac:dyDescent="0.15">
      <c r="A1209" s="2">
        <v>3</v>
      </c>
      <c r="B1209" s="1" t="s">
        <v>100</v>
      </c>
      <c r="C1209" s="4">
        <v>28</v>
      </c>
      <c r="D1209" s="8">
        <v>7.55</v>
      </c>
      <c r="E1209" s="4">
        <v>28</v>
      </c>
      <c r="F1209" s="8">
        <v>10.94</v>
      </c>
      <c r="G1209" s="4">
        <v>0</v>
      </c>
      <c r="H1209" s="8">
        <v>0</v>
      </c>
      <c r="I1209" s="4">
        <v>0</v>
      </c>
    </row>
    <row r="1210" spans="1:9" x14ac:dyDescent="0.15">
      <c r="A1210" s="2">
        <v>4</v>
      </c>
      <c r="B1210" s="1" t="s">
        <v>94</v>
      </c>
      <c r="C1210" s="4">
        <v>19</v>
      </c>
      <c r="D1210" s="8">
        <v>5.12</v>
      </c>
      <c r="E1210" s="4">
        <v>11</v>
      </c>
      <c r="F1210" s="8">
        <v>4.3</v>
      </c>
      <c r="G1210" s="4">
        <v>8</v>
      </c>
      <c r="H1210" s="8">
        <v>6.96</v>
      </c>
      <c r="I1210" s="4">
        <v>0</v>
      </c>
    </row>
    <row r="1211" spans="1:9" x14ac:dyDescent="0.15">
      <c r="A1211" s="2">
        <v>5</v>
      </c>
      <c r="B1211" s="1" t="s">
        <v>85</v>
      </c>
      <c r="C1211" s="4">
        <v>18</v>
      </c>
      <c r="D1211" s="8">
        <v>4.8499999999999996</v>
      </c>
      <c r="E1211" s="4">
        <v>6</v>
      </c>
      <c r="F1211" s="8">
        <v>2.34</v>
      </c>
      <c r="G1211" s="4">
        <v>12</v>
      </c>
      <c r="H1211" s="8">
        <v>10.43</v>
      </c>
      <c r="I1211" s="4">
        <v>0</v>
      </c>
    </row>
    <row r="1212" spans="1:9" x14ac:dyDescent="0.15">
      <c r="A1212" s="2">
        <v>6</v>
      </c>
      <c r="B1212" s="1" t="s">
        <v>92</v>
      </c>
      <c r="C1212" s="4">
        <v>15</v>
      </c>
      <c r="D1212" s="8">
        <v>4.04</v>
      </c>
      <c r="E1212" s="4">
        <v>11</v>
      </c>
      <c r="F1212" s="8">
        <v>4.3</v>
      </c>
      <c r="G1212" s="4">
        <v>4</v>
      </c>
      <c r="H1212" s="8">
        <v>3.48</v>
      </c>
      <c r="I1212" s="4">
        <v>0</v>
      </c>
    </row>
    <row r="1213" spans="1:9" x14ac:dyDescent="0.15">
      <c r="A1213" s="2">
        <v>7</v>
      </c>
      <c r="B1213" s="1" t="s">
        <v>86</v>
      </c>
      <c r="C1213" s="4">
        <v>12</v>
      </c>
      <c r="D1213" s="8">
        <v>3.23</v>
      </c>
      <c r="E1213" s="4">
        <v>8</v>
      </c>
      <c r="F1213" s="8">
        <v>3.13</v>
      </c>
      <c r="G1213" s="4">
        <v>4</v>
      </c>
      <c r="H1213" s="8">
        <v>3.48</v>
      </c>
      <c r="I1213" s="4">
        <v>0</v>
      </c>
    </row>
    <row r="1214" spans="1:9" x14ac:dyDescent="0.15">
      <c r="A1214" s="2">
        <v>8</v>
      </c>
      <c r="B1214" s="1" t="s">
        <v>98</v>
      </c>
      <c r="C1214" s="4">
        <v>9</v>
      </c>
      <c r="D1214" s="8">
        <v>2.4300000000000002</v>
      </c>
      <c r="E1214" s="4">
        <v>3</v>
      </c>
      <c r="F1214" s="8">
        <v>1.17</v>
      </c>
      <c r="G1214" s="4">
        <v>6</v>
      </c>
      <c r="H1214" s="8">
        <v>5.22</v>
      </c>
      <c r="I1214" s="4">
        <v>0</v>
      </c>
    </row>
    <row r="1215" spans="1:9" x14ac:dyDescent="0.15">
      <c r="A1215" s="2">
        <v>9</v>
      </c>
      <c r="B1215" s="1" t="s">
        <v>87</v>
      </c>
      <c r="C1215" s="4">
        <v>8</v>
      </c>
      <c r="D1215" s="8">
        <v>2.16</v>
      </c>
      <c r="E1215" s="4">
        <v>3</v>
      </c>
      <c r="F1215" s="8">
        <v>1.17</v>
      </c>
      <c r="G1215" s="4">
        <v>5</v>
      </c>
      <c r="H1215" s="8">
        <v>4.3499999999999996</v>
      </c>
      <c r="I1215" s="4">
        <v>0</v>
      </c>
    </row>
    <row r="1216" spans="1:9" x14ac:dyDescent="0.15">
      <c r="A1216" s="2">
        <v>9</v>
      </c>
      <c r="B1216" s="1" t="s">
        <v>91</v>
      </c>
      <c r="C1216" s="4">
        <v>8</v>
      </c>
      <c r="D1216" s="8">
        <v>2.16</v>
      </c>
      <c r="E1216" s="4">
        <v>6</v>
      </c>
      <c r="F1216" s="8">
        <v>2.34</v>
      </c>
      <c r="G1216" s="4">
        <v>2</v>
      </c>
      <c r="H1216" s="8">
        <v>1.74</v>
      </c>
      <c r="I1216" s="4">
        <v>0</v>
      </c>
    </row>
    <row r="1217" spans="1:9" x14ac:dyDescent="0.15">
      <c r="A1217" s="2">
        <v>9</v>
      </c>
      <c r="B1217" s="1" t="s">
        <v>102</v>
      </c>
      <c r="C1217" s="4">
        <v>8</v>
      </c>
      <c r="D1217" s="8">
        <v>2.16</v>
      </c>
      <c r="E1217" s="4">
        <v>5</v>
      </c>
      <c r="F1217" s="8">
        <v>1.95</v>
      </c>
      <c r="G1217" s="4">
        <v>3</v>
      </c>
      <c r="H1217" s="8">
        <v>2.61</v>
      </c>
      <c r="I1217" s="4">
        <v>0</v>
      </c>
    </row>
    <row r="1218" spans="1:9" x14ac:dyDescent="0.15">
      <c r="A1218" s="2">
        <v>9</v>
      </c>
      <c r="B1218" s="1" t="s">
        <v>103</v>
      </c>
      <c r="C1218" s="4">
        <v>8</v>
      </c>
      <c r="D1218" s="8">
        <v>2.16</v>
      </c>
      <c r="E1218" s="4">
        <v>7</v>
      </c>
      <c r="F1218" s="8">
        <v>2.73</v>
      </c>
      <c r="G1218" s="4">
        <v>1</v>
      </c>
      <c r="H1218" s="8">
        <v>0.87</v>
      </c>
      <c r="I1218" s="4">
        <v>0</v>
      </c>
    </row>
    <row r="1219" spans="1:9" x14ac:dyDescent="0.15">
      <c r="A1219" s="2">
        <v>13</v>
      </c>
      <c r="B1219" s="1" t="s">
        <v>97</v>
      </c>
      <c r="C1219" s="4">
        <v>6</v>
      </c>
      <c r="D1219" s="8">
        <v>1.62</v>
      </c>
      <c r="E1219" s="4">
        <v>4</v>
      </c>
      <c r="F1219" s="8">
        <v>1.56</v>
      </c>
      <c r="G1219" s="4">
        <v>2</v>
      </c>
      <c r="H1219" s="8">
        <v>1.74</v>
      </c>
      <c r="I1219" s="4">
        <v>0</v>
      </c>
    </row>
    <row r="1220" spans="1:9" x14ac:dyDescent="0.15">
      <c r="A1220" s="2">
        <v>13</v>
      </c>
      <c r="B1220" s="1" t="s">
        <v>111</v>
      </c>
      <c r="C1220" s="4">
        <v>6</v>
      </c>
      <c r="D1220" s="8">
        <v>1.62</v>
      </c>
      <c r="E1220" s="4">
        <v>4</v>
      </c>
      <c r="F1220" s="8">
        <v>1.56</v>
      </c>
      <c r="G1220" s="4">
        <v>2</v>
      </c>
      <c r="H1220" s="8">
        <v>1.74</v>
      </c>
      <c r="I1220" s="4">
        <v>0</v>
      </c>
    </row>
    <row r="1221" spans="1:9" x14ac:dyDescent="0.15">
      <c r="A1221" s="2">
        <v>13</v>
      </c>
      <c r="B1221" s="1" t="s">
        <v>126</v>
      </c>
      <c r="C1221" s="4">
        <v>6</v>
      </c>
      <c r="D1221" s="8">
        <v>1.62</v>
      </c>
      <c r="E1221" s="4">
        <v>1</v>
      </c>
      <c r="F1221" s="8">
        <v>0.39</v>
      </c>
      <c r="G1221" s="4">
        <v>5</v>
      </c>
      <c r="H1221" s="8">
        <v>4.3499999999999996</v>
      </c>
      <c r="I1221" s="4">
        <v>0</v>
      </c>
    </row>
    <row r="1222" spans="1:9" x14ac:dyDescent="0.15">
      <c r="A1222" s="2">
        <v>13</v>
      </c>
      <c r="B1222" s="1" t="s">
        <v>117</v>
      </c>
      <c r="C1222" s="4">
        <v>6</v>
      </c>
      <c r="D1222" s="8">
        <v>1.62</v>
      </c>
      <c r="E1222" s="4">
        <v>2</v>
      </c>
      <c r="F1222" s="8">
        <v>0.78</v>
      </c>
      <c r="G1222" s="4">
        <v>4</v>
      </c>
      <c r="H1222" s="8">
        <v>3.48</v>
      </c>
      <c r="I1222" s="4">
        <v>0</v>
      </c>
    </row>
    <row r="1223" spans="1:9" x14ac:dyDescent="0.15">
      <c r="A1223" s="2">
        <v>17</v>
      </c>
      <c r="B1223" s="1" t="s">
        <v>93</v>
      </c>
      <c r="C1223" s="4">
        <v>5</v>
      </c>
      <c r="D1223" s="8">
        <v>1.35</v>
      </c>
      <c r="E1223" s="4">
        <v>4</v>
      </c>
      <c r="F1223" s="8">
        <v>1.56</v>
      </c>
      <c r="G1223" s="4">
        <v>1</v>
      </c>
      <c r="H1223" s="8">
        <v>0.87</v>
      </c>
      <c r="I1223" s="4">
        <v>0</v>
      </c>
    </row>
    <row r="1224" spans="1:9" x14ac:dyDescent="0.15">
      <c r="A1224" s="2">
        <v>18</v>
      </c>
      <c r="B1224" s="1" t="s">
        <v>106</v>
      </c>
      <c r="C1224" s="4">
        <v>4</v>
      </c>
      <c r="D1224" s="8">
        <v>1.08</v>
      </c>
      <c r="E1224" s="4">
        <v>3</v>
      </c>
      <c r="F1224" s="8">
        <v>1.17</v>
      </c>
      <c r="G1224" s="4">
        <v>1</v>
      </c>
      <c r="H1224" s="8">
        <v>0.87</v>
      </c>
      <c r="I1224" s="4">
        <v>0</v>
      </c>
    </row>
    <row r="1225" spans="1:9" x14ac:dyDescent="0.15">
      <c r="A1225" s="2">
        <v>18</v>
      </c>
      <c r="B1225" s="1" t="s">
        <v>105</v>
      </c>
      <c r="C1225" s="4">
        <v>4</v>
      </c>
      <c r="D1225" s="8">
        <v>1.08</v>
      </c>
      <c r="E1225" s="4">
        <v>1</v>
      </c>
      <c r="F1225" s="8">
        <v>0.39</v>
      </c>
      <c r="G1225" s="4">
        <v>3</v>
      </c>
      <c r="H1225" s="8">
        <v>2.61</v>
      </c>
      <c r="I1225" s="4">
        <v>0</v>
      </c>
    </row>
    <row r="1226" spans="1:9" x14ac:dyDescent="0.15">
      <c r="A1226" s="2">
        <v>20</v>
      </c>
      <c r="B1226" s="1" t="s">
        <v>95</v>
      </c>
      <c r="C1226" s="4">
        <v>3</v>
      </c>
      <c r="D1226" s="8">
        <v>0.81</v>
      </c>
      <c r="E1226" s="4">
        <v>0</v>
      </c>
      <c r="F1226" s="8">
        <v>0</v>
      </c>
      <c r="G1226" s="4">
        <v>3</v>
      </c>
      <c r="H1226" s="8">
        <v>2.61</v>
      </c>
      <c r="I1226" s="4">
        <v>0</v>
      </c>
    </row>
    <row r="1227" spans="1:9" x14ac:dyDescent="0.15">
      <c r="A1227" s="2">
        <v>20</v>
      </c>
      <c r="B1227" s="1" t="s">
        <v>116</v>
      </c>
      <c r="C1227" s="4">
        <v>3</v>
      </c>
      <c r="D1227" s="8">
        <v>0.81</v>
      </c>
      <c r="E1227" s="4">
        <v>2</v>
      </c>
      <c r="F1227" s="8">
        <v>0.78</v>
      </c>
      <c r="G1227" s="4">
        <v>1</v>
      </c>
      <c r="H1227" s="8">
        <v>0.87</v>
      </c>
      <c r="I1227" s="4">
        <v>0</v>
      </c>
    </row>
    <row r="1228" spans="1:9" x14ac:dyDescent="0.15">
      <c r="A1228" s="1"/>
      <c r="C1228" s="4"/>
      <c r="D1228" s="8"/>
      <c r="E1228" s="4"/>
      <c r="F1228" s="8"/>
      <c r="G1228" s="4"/>
      <c r="H1228" s="8"/>
      <c r="I1228" s="4"/>
    </row>
    <row r="1229" spans="1:9" x14ac:dyDescent="0.15">
      <c r="A1229" s="1" t="s">
        <v>55</v>
      </c>
      <c r="C1229" s="4"/>
      <c r="D1229" s="8"/>
      <c r="E1229" s="4"/>
      <c r="F1229" s="8"/>
      <c r="G1229" s="4"/>
      <c r="H1229" s="8"/>
      <c r="I1229" s="4"/>
    </row>
    <row r="1230" spans="1:9" x14ac:dyDescent="0.15">
      <c r="A1230" s="2">
        <v>1</v>
      </c>
      <c r="B1230" s="1" t="s">
        <v>92</v>
      </c>
      <c r="C1230" s="4">
        <v>30</v>
      </c>
      <c r="D1230" s="8">
        <v>10.56</v>
      </c>
      <c r="E1230" s="4">
        <v>22</v>
      </c>
      <c r="F1230" s="8">
        <v>14.01</v>
      </c>
      <c r="G1230" s="4">
        <v>8</v>
      </c>
      <c r="H1230" s="8">
        <v>6.4</v>
      </c>
      <c r="I1230" s="4">
        <v>0</v>
      </c>
    </row>
    <row r="1231" spans="1:9" x14ac:dyDescent="0.15">
      <c r="A1231" s="2">
        <v>2</v>
      </c>
      <c r="B1231" s="1" t="s">
        <v>85</v>
      </c>
      <c r="C1231" s="4">
        <v>28</v>
      </c>
      <c r="D1231" s="8">
        <v>9.86</v>
      </c>
      <c r="E1231" s="4">
        <v>7</v>
      </c>
      <c r="F1231" s="8">
        <v>4.46</v>
      </c>
      <c r="G1231" s="4">
        <v>21</v>
      </c>
      <c r="H1231" s="8">
        <v>16.8</v>
      </c>
      <c r="I1231" s="4">
        <v>0</v>
      </c>
    </row>
    <row r="1232" spans="1:9" x14ac:dyDescent="0.15">
      <c r="A1232" s="2">
        <v>3</v>
      </c>
      <c r="B1232" s="1" t="s">
        <v>94</v>
      </c>
      <c r="C1232" s="4">
        <v>24</v>
      </c>
      <c r="D1232" s="8">
        <v>8.4499999999999993</v>
      </c>
      <c r="E1232" s="4">
        <v>17</v>
      </c>
      <c r="F1232" s="8">
        <v>10.83</v>
      </c>
      <c r="G1232" s="4">
        <v>7</v>
      </c>
      <c r="H1232" s="8">
        <v>5.6</v>
      </c>
      <c r="I1232" s="4">
        <v>0</v>
      </c>
    </row>
    <row r="1233" spans="1:9" x14ac:dyDescent="0.15">
      <c r="A1233" s="2">
        <v>3</v>
      </c>
      <c r="B1233" s="1" t="s">
        <v>96</v>
      </c>
      <c r="C1233" s="4">
        <v>24</v>
      </c>
      <c r="D1233" s="8">
        <v>8.4499999999999993</v>
      </c>
      <c r="E1233" s="4">
        <v>17</v>
      </c>
      <c r="F1233" s="8">
        <v>10.83</v>
      </c>
      <c r="G1233" s="4">
        <v>7</v>
      </c>
      <c r="H1233" s="8">
        <v>5.6</v>
      </c>
      <c r="I1233" s="4">
        <v>0</v>
      </c>
    </row>
    <row r="1234" spans="1:9" x14ac:dyDescent="0.15">
      <c r="A1234" s="2">
        <v>5</v>
      </c>
      <c r="B1234" s="1" t="s">
        <v>100</v>
      </c>
      <c r="C1234" s="4">
        <v>23</v>
      </c>
      <c r="D1234" s="8">
        <v>8.1</v>
      </c>
      <c r="E1234" s="4">
        <v>21</v>
      </c>
      <c r="F1234" s="8">
        <v>13.38</v>
      </c>
      <c r="G1234" s="4">
        <v>2</v>
      </c>
      <c r="H1234" s="8">
        <v>1.6</v>
      </c>
      <c r="I1234" s="4">
        <v>0</v>
      </c>
    </row>
    <row r="1235" spans="1:9" x14ac:dyDescent="0.15">
      <c r="A1235" s="2">
        <v>6</v>
      </c>
      <c r="B1235" s="1" t="s">
        <v>99</v>
      </c>
      <c r="C1235" s="4">
        <v>18</v>
      </c>
      <c r="D1235" s="8">
        <v>6.34</v>
      </c>
      <c r="E1235" s="4">
        <v>13</v>
      </c>
      <c r="F1235" s="8">
        <v>8.2799999999999994</v>
      </c>
      <c r="G1235" s="4">
        <v>5</v>
      </c>
      <c r="H1235" s="8">
        <v>4</v>
      </c>
      <c r="I1235" s="4">
        <v>0</v>
      </c>
    </row>
    <row r="1236" spans="1:9" x14ac:dyDescent="0.15">
      <c r="A1236" s="2">
        <v>7</v>
      </c>
      <c r="B1236" s="1" t="s">
        <v>86</v>
      </c>
      <c r="C1236" s="4">
        <v>17</v>
      </c>
      <c r="D1236" s="8">
        <v>5.99</v>
      </c>
      <c r="E1236" s="4">
        <v>4</v>
      </c>
      <c r="F1236" s="8">
        <v>2.5499999999999998</v>
      </c>
      <c r="G1236" s="4">
        <v>13</v>
      </c>
      <c r="H1236" s="8">
        <v>10.4</v>
      </c>
      <c r="I1236" s="4">
        <v>0</v>
      </c>
    </row>
    <row r="1237" spans="1:9" x14ac:dyDescent="0.15">
      <c r="A1237" s="2">
        <v>8</v>
      </c>
      <c r="B1237" s="1" t="s">
        <v>102</v>
      </c>
      <c r="C1237" s="4">
        <v>12</v>
      </c>
      <c r="D1237" s="8">
        <v>4.2300000000000004</v>
      </c>
      <c r="E1237" s="4">
        <v>10</v>
      </c>
      <c r="F1237" s="8">
        <v>6.37</v>
      </c>
      <c r="G1237" s="4">
        <v>2</v>
      </c>
      <c r="H1237" s="8">
        <v>1.6</v>
      </c>
      <c r="I1237" s="4">
        <v>0</v>
      </c>
    </row>
    <row r="1238" spans="1:9" x14ac:dyDescent="0.15">
      <c r="A1238" s="2">
        <v>9</v>
      </c>
      <c r="B1238" s="1" t="s">
        <v>87</v>
      </c>
      <c r="C1238" s="4">
        <v>11</v>
      </c>
      <c r="D1238" s="8">
        <v>3.87</v>
      </c>
      <c r="E1238" s="4">
        <v>4</v>
      </c>
      <c r="F1238" s="8">
        <v>2.5499999999999998</v>
      </c>
      <c r="G1238" s="4">
        <v>7</v>
      </c>
      <c r="H1238" s="8">
        <v>5.6</v>
      </c>
      <c r="I1238" s="4">
        <v>0</v>
      </c>
    </row>
    <row r="1239" spans="1:9" x14ac:dyDescent="0.15">
      <c r="A1239" s="2">
        <v>10</v>
      </c>
      <c r="B1239" s="1" t="s">
        <v>93</v>
      </c>
      <c r="C1239" s="4">
        <v>10</v>
      </c>
      <c r="D1239" s="8">
        <v>3.52</v>
      </c>
      <c r="E1239" s="4">
        <v>5</v>
      </c>
      <c r="F1239" s="8">
        <v>3.18</v>
      </c>
      <c r="G1239" s="4">
        <v>5</v>
      </c>
      <c r="H1239" s="8">
        <v>4</v>
      </c>
      <c r="I1239" s="4">
        <v>0</v>
      </c>
    </row>
    <row r="1240" spans="1:9" x14ac:dyDescent="0.15">
      <c r="A1240" s="2">
        <v>11</v>
      </c>
      <c r="B1240" s="1" t="s">
        <v>111</v>
      </c>
      <c r="C1240" s="4">
        <v>8</v>
      </c>
      <c r="D1240" s="8">
        <v>2.82</v>
      </c>
      <c r="E1240" s="4">
        <v>7</v>
      </c>
      <c r="F1240" s="8">
        <v>4.46</v>
      </c>
      <c r="G1240" s="4">
        <v>1</v>
      </c>
      <c r="H1240" s="8">
        <v>0.8</v>
      </c>
      <c r="I1240" s="4">
        <v>0</v>
      </c>
    </row>
    <row r="1241" spans="1:9" x14ac:dyDescent="0.15">
      <c r="A1241" s="2">
        <v>12</v>
      </c>
      <c r="B1241" s="1" t="s">
        <v>91</v>
      </c>
      <c r="C1241" s="4">
        <v>7</v>
      </c>
      <c r="D1241" s="8">
        <v>2.46</v>
      </c>
      <c r="E1241" s="4">
        <v>5</v>
      </c>
      <c r="F1241" s="8">
        <v>3.18</v>
      </c>
      <c r="G1241" s="4">
        <v>2</v>
      </c>
      <c r="H1241" s="8">
        <v>1.6</v>
      </c>
      <c r="I1241" s="4">
        <v>0</v>
      </c>
    </row>
    <row r="1242" spans="1:9" x14ac:dyDescent="0.15">
      <c r="A1242" s="2">
        <v>12</v>
      </c>
      <c r="B1242" s="1" t="s">
        <v>117</v>
      </c>
      <c r="C1242" s="4">
        <v>7</v>
      </c>
      <c r="D1242" s="8">
        <v>2.46</v>
      </c>
      <c r="E1242" s="4">
        <v>3</v>
      </c>
      <c r="F1242" s="8">
        <v>1.91</v>
      </c>
      <c r="G1242" s="4">
        <v>4</v>
      </c>
      <c r="H1242" s="8">
        <v>3.2</v>
      </c>
      <c r="I1242" s="4">
        <v>0</v>
      </c>
    </row>
    <row r="1243" spans="1:9" x14ac:dyDescent="0.15">
      <c r="A1243" s="2">
        <v>14</v>
      </c>
      <c r="B1243" s="1" t="s">
        <v>105</v>
      </c>
      <c r="C1243" s="4">
        <v>5</v>
      </c>
      <c r="D1243" s="8">
        <v>1.76</v>
      </c>
      <c r="E1243" s="4">
        <v>0</v>
      </c>
      <c r="F1243" s="8">
        <v>0</v>
      </c>
      <c r="G1243" s="4">
        <v>5</v>
      </c>
      <c r="H1243" s="8">
        <v>4</v>
      </c>
      <c r="I1243" s="4">
        <v>0</v>
      </c>
    </row>
    <row r="1244" spans="1:9" x14ac:dyDescent="0.15">
      <c r="A1244" s="2">
        <v>15</v>
      </c>
      <c r="B1244" s="1" t="s">
        <v>123</v>
      </c>
      <c r="C1244" s="4">
        <v>4</v>
      </c>
      <c r="D1244" s="8">
        <v>1.41</v>
      </c>
      <c r="E1244" s="4">
        <v>1</v>
      </c>
      <c r="F1244" s="8">
        <v>0.64</v>
      </c>
      <c r="G1244" s="4">
        <v>3</v>
      </c>
      <c r="H1244" s="8">
        <v>2.4</v>
      </c>
      <c r="I1244" s="4">
        <v>0</v>
      </c>
    </row>
    <row r="1245" spans="1:9" x14ac:dyDescent="0.15">
      <c r="A1245" s="2">
        <v>15</v>
      </c>
      <c r="B1245" s="1" t="s">
        <v>88</v>
      </c>
      <c r="C1245" s="4">
        <v>4</v>
      </c>
      <c r="D1245" s="8">
        <v>1.41</v>
      </c>
      <c r="E1245" s="4">
        <v>1</v>
      </c>
      <c r="F1245" s="8">
        <v>0.64</v>
      </c>
      <c r="G1245" s="4">
        <v>3</v>
      </c>
      <c r="H1245" s="8">
        <v>2.4</v>
      </c>
      <c r="I1245" s="4">
        <v>0</v>
      </c>
    </row>
    <row r="1246" spans="1:9" x14ac:dyDescent="0.15">
      <c r="A1246" s="2">
        <v>15</v>
      </c>
      <c r="B1246" s="1" t="s">
        <v>125</v>
      </c>
      <c r="C1246" s="4">
        <v>4</v>
      </c>
      <c r="D1246" s="8">
        <v>1.41</v>
      </c>
      <c r="E1246" s="4">
        <v>0</v>
      </c>
      <c r="F1246" s="8">
        <v>0</v>
      </c>
      <c r="G1246" s="4">
        <v>4</v>
      </c>
      <c r="H1246" s="8">
        <v>3.2</v>
      </c>
      <c r="I1246" s="4">
        <v>0</v>
      </c>
    </row>
    <row r="1247" spans="1:9" x14ac:dyDescent="0.15">
      <c r="A1247" s="2">
        <v>15</v>
      </c>
      <c r="B1247" s="1" t="s">
        <v>106</v>
      </c>
      <c r="C1247" s="4">
        <v>4</v>
      </c>
      <c r="D1247" s="8">
        <v>1.41</v>
      </c>
      <c r="E1247" s="4">
        <v>1</v>
      </c>
      <c r="F1247" s="8">
        <v>0.64</v>
      </c>
      <c r="G1247" s="4">
        <v>3</v>
      </c>
      <c r="H1247" s="8">
        <v>2.4</v>
      </c>
      <c r="I1247" s="4">
        <v>0</v>
      </c>
    </row>
    <row r="1248" spans="1:9" x14ac:dyDescent="0.15">
      <c r="A1248" s="2">
        <v>15</v>
      </c>
      <c r="B1248" s="1" t="s">
        <v>103</v>
      </c>
      <c r="C1248" s="4">
        <v>4</v>
      </c>
      <c r="D1248" s="8">
        <v>1.41</v>
      </c>
      <c r="E1248" s="4">
        <v>4</v>
      </c>
      <c r="F1248" s="8">
        <v>2.5499999999999998</v>
      </c>
      <c r="G1248" s="4">
        <v>0</v>
      </c>
      <c r="H1248" s="8">
        <v>0</v>
      </c>
      <c r="I1248" s="4">
        <v>0</v>
      </c>
    </row>
    <row r="1249" spans="1:9" x14ac:dyDescent="0.15">
      <c r="A1249" s="2">
        <v>20</v>
      </c>
      <c r="B1249" s="1" t="s">
        <v>127</v>
      </c>
      <c r="C1249" s="4">
        <v>3</v>
      </c>
      <c r="D1249" s="8">
        <v>1.06</v>
      </c>
      <c r="E1249" s="4">
        <v>0</v>
      </c>
      <c r="F1249" s="8">
        <v>0</v>
      </c>
      <c r="G1249" s="4">
        <v>3</v>
      </c>
      <c r="H1249" s="8">
        <v>2.4</v>
      </c>
      <c r="I1249" s="4">
        <v>0</v>
      </c>
    </row>
    <row r="1250" spans="1:9" x14ac:dyDescent="0.15">
      <c r="A1250" s="2">
        <v>20</v>
      </c>
      <c r="B1250" s="1" t="s">
        <v>128</v>
      </c>
      <c r="C1250" s="4">
        <v>3</v>
      </c>
      <c r="D1250" s="8">
        <v>1.06</v>
      </c>
      <c r="E1250" s="4">
        <v>3</v>
      </c>
      <c r="F1250" s="8">
        <v>1.91</v>
      </c>
      <c r="G1250" s="4">
        <v>0</v>
      </c>
      <c r="H1250" s="8">
        <v>0</v>
      </c>
      <c r="I1250" s="4">
        <v>0</v>
      </c>
    </row>
    <row r="1251" spans="1:9" x14ac:dyDescent="0.15">
      <c r="A1251" s="2">
        <v>20</v>
      </c>
      <c r="B1251" s="1" t="s">
        <v>122</v>
      </c>
      <c r="C1251" s="4">
        <v>3</v>
      </c>
      <c r="D1251" s="8">
        <v>1.06</v>
      </c>
      <c r="E1251" s="4">
        <v>2</v>
      </c>
      <c r="F1251" s="8">
        <v>1.27</v>
      </c>
      <c r="G1251" s="4">
        <v>1</v>
      </c>
      <c r="H1251" s="8">
        <v>0.8</v>
      </c>
      <c r="I1251" s="4">
        <v>0</v>
      </c>
    </row>
    <row r="1252" spans="1:9" x14ac:dyDescent="0.15">
      <c r="A1252" s="2">
        <v>20</v>
      </c>
      <c r="B1252" s="1" t="s">
        <v>95</v>
      </c>
      <c r="C1252" s="4">
        <v>3</v>
      </c>
      <c r="D1252" s="8">
        <v>1.06</v>
      </c>
      <c r="E1252" s="4">
        <v>0</v>
      </c>
      <c r="F1252" s="8">
        <v>0</v>
      </c>
      <c r="G1252" s="4">
        <v>3</v>
      </c>
      <c r="H1252" s="8">
        <v>2.4</v>
      </c>
      <c r="I1252" s="4">
        <v>0</v>
      </c>
    </row>
    <row r="1253" spans="1:9" x14ac:dyDescent="0.15">
      <c r="A1253" s="2">
        <v>20</v>
      </c>
      <c r="B1253" s="1" t="s">
        <v>98</v>
      </c>
      <c r="C1253" s="4">
        <v>3</v>
      </c>
      <c r="D1253" s="8">
        <v>1.06</v>
      </c>
      <c r="E1253" s="4">
        <v>2</v>
      </c>
      <c r="F1253" s="8">
        <v>1.27</v>
      </c>
      <c r="G1253" s="4">
        <v>1</v>
      </c>
      <c r="H1253" s="8">
        <v>0.8</v>
      </c>
      <c r="I1253" s="4">
        <v>0</v>
      </c>
    </row>
    <row r="1254" spans="1:9" x14ac:dyDescent="0.15">
      <c r="A1254" s="1"/>
      <c r="C1254" s="4"/>
      <c r="D1254" s="8"/>
      <c r="E1254" s="4"/>
      <c r="F1254" s="8"/>
      <c r="G1254" s="4"/>
      <c r="H1254" s="8"/>
      <c r="I1254" s="4"/>
    </row>
    <row r="1255" spans="1:9" x14ac:dyDescent="0.15">
      <c r="A1255" s="1" t="s">
        <v>56</v>
      </c>
      <c r="C1255" s="4"/>
      <c r="D1255" s="8"/>
      <c r="E1255" s="4"/>
      <c r="F1255" s="8"/>
      <c r="G1255" s="4"/>
      <c r="H1255" s="8"/>
      <c r="I1255" s="4"/>
    </row>
    <row r="1256" spans="1:9" x14ac:dyDescent="0.15">
      <c r="A1256" s="2">
        <v>1</v>
      </c>
      <c r="B1256" s="1" t="s">
        <v>96</v>
      </c>
      <c r="C1256" s="4">
        <v>128</v>
      </c>
      <c r="D1256" s="8">
        <v>30.4</v>
      </c>
      <c r="E1256" s="4">
        <v>105</v>
      </c>
      <c r="F1256" s="8">
        <v>36.840000000000003</v>
      </c>
      <c r="G1256" s="4">
        <v>23</v>
      </c>
      <c r="H1256" s="8">
        <v>16.91</v>
      </c>
      <c r="I1256" s="4">
        <v>0</v>
      </c>
    </row>
    <row r="1257" spans="1:9" x14ac:dyDescent="0.15">
      <c r="A1257" s="2">
        <v>2</v>
      </c>
      <c r="B1257" s="1" t="s">
        <v>100</v>
      </c>
      <c r="C1257" s="4">
        <v>44</v>
      </c>
      <c r="D1257" s="8">
        <v>10.45</v>
      </c>
      <c r="E1257" s="4">
        <v>35</v>
      </c>
      <c r="F1257" s="8">
        <v>12.28</v>
      </c>
      <c r="G1257" s="4">
        <v>9</v>
      </c>
      <c r="H1257" s="8">
        <v>6.62</v>
      </c>
      <c r="I1257" s="4">
        <v>0</v>
      </c>
    </row>
    <row r="1258" spans="1:9" x14ac:dyDescent="0.15">
      <c r="A1258" s="2">
        <v>3</v>
      </c>
      <c r="B1258" s="1" t="s">
        <v>99</v>
      </c>
      <c r="C1258" s="4">
        <v>37</v>
      </c>
      <c r="D1258" s="8">
        <v>8.7899999999999991</v>
      </c>
      <c r="E1258" s="4">
        <v>33</v>
      </c>
      <c r="F1258" s="8">
        <v>11.58</v>
      </c>
      <c r="G1258" s="4">
        <v>4</v>
      </c>
      <c r="H1258" s="8">
        <v>2.94</v>
      </c>
      <c r="I1258" s="4">
        <v>0</v>
      </c>
    </row>
    <row r="1259" spans="1:9" x14ac:dyDescent="0.15">
      <c r="A1259" s="2">
        <v>4</v>
      </c>
      <c r="B1259" s="1" t="s">
        <v>85</v>
      </c>
      <c r="C1259" s="4">
        <v>25</v>
      </c>
      <c r="D1259" s="8">
        <v>5.94</v>
      </c>
      <c r="E1259" s="4">
        <v>12</v>
      </c>
      <c r="F1259" s="8">
        <v>4.21</v>
      </c>
      <c r="G1259" s="4">
        <v>13</v>
      </c>
      <c r="H1259" s="8">
        <v>9.56</v>
      </c>
      <c r="I1259" s="4">
        <v>0</v>
      </c>
    </row>
    <row r="1260" spans="1:9" x14ac:dyDescent="0.15">
      <c r="A1260" s="2">
        <v>5</v>
      </c>
      <c r="B1260" s="1" t="s">
        <v>92</v>
      </c>
      <c r="C1260" s="4">
        <v>20</v>
      </c>
      <c r="D1260" s="8">
        <v>4.75</v>
      </c>
      <c r="E1260" s="4">
        <v>16</v>
      </c>
      <c r="F1260" s="8">
        <v>5.61</v>
      </c>
      <c r="G1260" s="4">
        <v>4</v>
      </c>
      <c r="H1260" s="8">
        <v>2.94</v>
      </c>
      <c r="I1260" s="4">
        <v>0</v>
      </c>
    </row>
    <row r="1261" spans="1:9" x14ac:dyDescent="0.15">
      <c r="A1261" s="2">
        <v>6</v>
      </c>
      <c r="B1261" s="1" t="s">
        <v>94</v>
      </c>
      <c r="C1261" s="4">
        <v>19</v>
      </c>
      <c r="D1261" s="8">
        <v>4.51</v>
      </c>
      <c r="E1261" s="4">
        <v>11</v>
      </c>
      <c r="F1261" s="8">
        <v>3.86</v>
      </c>
      <c r="G1261" s="4">
        <v>8</v>
      </c>
      <c r="H1261" s="8">
        <v>5.88</v>
      </c>
      <c r="I1261" s="4">
        <v>0</v>
      </c>
    </row>
    <row r="1262" spans="1:9" x14ac:dyDescent="0.15">
      <c r="A1262" s="2">
        <v>6</v>
      </c>
      <c r="B1262" s="1" t="s">
        <v>102</v>
      </c>
      <c r="C1262" s="4">
        <v>19</v>
      </c>
      <c r="D1262" s="8">
        <v>4.51</v>
      </c>
      <c r="E1262" s="4">
        <v>13</v>
      </c>
      <c r="F1262" s="8">
        <v>4.5599999999999996</v>
      </c>
      <c r="G1262" s="4">
        <v>6</v>
      </c>
      <c r="H1262" s="8">
        <v>4.41</v>
      </c>
      <c r="I1262" s="4">
        <v>0</v>
      </c>
    </row>
    <row r="1263" spans="1:9" x14ac:dyDescent="0.15">
      <c r="A1263" s="2">
        <v>8</v>
      </c>
      <c r="B1263" s="1" t="s">
        <v>93</v>
      </c>
      <c r="C1263" s="4">
        <v>17</v>
      </c>
      <c r="D1263" s="8">
        <v>4.04</v>
      </c>
      <c r="E1263" s="4">
        <v>8</v>
      </c>
      <c r="F1263" s="8">
        <v>2.81</v>
      </c>
      <c r="G1263" s="4">
        <v>9</v>
      </c>
      <c r="H1263" s="8">
        <v>6.62</v>
      </c>
      <c r="I1263" s="4">
        <v>0</v>
      </c>
    </row>
    <row r="1264" spans="1:9" x14ac:dyDescent="0.15">
      <c r="A1264" s="2">
        <v>9</v>
      </c>
      <c r="B1264" s="1" t="s">
        <v>103</v>
      </c>
      <c r="C1264" s="4">
        <v>16</v>
      </c>
      <c r="D1264" s="8">
        <v>3.8</v>
      </c>
      <c r="E1264" s="4">
        <v>13</v>
      </c>
      <c r="F1264" s="8">
        <v>4.5599999999999996</v>
      </c>
      <c r="G1264" s="4">
        <v>3</v>
      </c>
      <c r="H1264" s="8">
        <v>2.21</v>
      </c>
      <c r="I1264" s="4">
        <v>0</v>
      </c>
    </row>
    <row r="1265" spans="1:9" x14ac:dyDescent="0.15">
      <c r="A1265" s="2">
        <v>10</v>
      </c>
      <c r="B1265" s="1" t="s">
        <v>87</v>
      </c>
      <c r="C1265" s="4">
        <v>12</v>
      </c>
      <c r="D1265" s="8">
        <v>2.85</v>
      </c>
      <c r="E1265" s="4">
        <v>3</v>
      </c>
      <c r="F1265" s="8">
        <v>1.05</v>
      </c>
      <c r="G1265" s="4">
        <v>9</v>
      </c>
      <c r="H1265" s="8">
        <v>6.62</v>
      </c>
      <c r="I1265" s="4">
        <v>0</v>
      </c>
    </row>
    <row r="1266" spans="1:9" x14ac:dyDescent="0.15">
      <c r="A1266" s="2">
        <v>11</v>
      </c>
      <c r="B1266" s="1" t="s">
        <v>86</v>
      </c>
      <c r="C1266" s="4">
        <v>10</v>
      </c>
      <c r="D1266" s="8">
        <v>2.38</v>
      </c>
      <c r="E1266" s="4">
        <v>4</v>
      </c>
      <c r="F1266" s="8">
        <v>1.4</v>
      </c>
      <c r="G1266" s="4">
        <v>6</v>
      </c>
      <c r="H1266" s="8">
        <v>4.41</v>
      </c>
      <c r="I1266" s="4">
        <v>0</v>
      </c>
    </row>
    <row r="1267" spans="1:9" x14ac:dyDescent="0.15">
      <c r="A1267" s="2">
        <v>12</v>
      </c>
      <c r="B1267" s="1" t="s">
        <v>95</v>
      </c>
      <c r="C1267" s="4">
        <v>7</v>
      </c>
      <c r="D1267" s="8">
        <v>1.66</v>
      </c>
      <c r="E1267" s="4">
        <v>3</v>
      </c>
      <c r="F1267" s="8">
        <v>1.05</v>
      </c>
      <c r="G1267" s="4">
        <v>4</v>
      </c>
      <c r="H1267" s="8">
        <v>2.94</v>
      </c>
      <c r="I1267" s="4">
        <v>0</v>
      </c>
    </row>
    <row r="1268" spans="1:9" x14ac:dyDescent="0.15">
      <c r="A1268" s="2">
        <v>13</v>
      </c>
      <c r="B1268" s="1" t="s">
        <v>97</v>
      </c>
      <c r="C1268" s="4">
        <v>6</v>
      </c>
      <c r="D1268" s="8">
        <v>1.43</v>
      </c>
      <c r="E1268" s="4">
        <v>6</v>
      </c>
      <c r="F1268" s="8">
        <v>2.11</v>
      </c>
      <c r="G1268" s="4">
        <v>0</v>
      </c>
      <c r="H1268" s="8">
        <v>0</v>
      </c>
      <c r="I1268" s="4">
        <v>0</v>
      </c>
    </row>
    <row r="1269" spans="1:9" x14ac:dyDescent="0.15">
      <c r="A1269" s="2">
        <v>13</v>
      </c>
      <c r="B1269" s="1" t="s">
        <v>104</v>
      </c>
      <c r="C1269" s="4">
        <v>6</v>
      </c>
      <c r="D1269" s="8">
        <v>1.43</v>
      </c>
      <c r="E1269" s="4">
        <v>1</v>
      </c>
      <c r="F1269" s="8">
        <v>0.35</v>
      </c>
      <c r="G1269" s="4">
        <v>5</v>
      </c>
      <c r="H1269" s="8">
        <v>3.68</v>
      </c>
      <c r="I1269" s="4">
        <v>0</v>
      </c>
    </row>
    <row r="1270" spans="1:9" x14ac:dyDescent="0.15">
      <c r="A1270" s="2">
        <v>15</v>
      </c>
      <c r="B1270" s="1" t="s">
        <v>91</v>
      </c>
      <c r="C1270" s="4">
        <v>5</v>
      </c>
      <c r="D1270" s="8">
        <v>1.19</v>
      </c>
      <c r="E1270" s="4">
        <v>4</v>
      </c>
      <c r="F1270" s="8">
        <v>1.4</v>
      </c>
      <c r="G1270" s="4">
        <v>1</v>
      </c>
      <c r="H1270" s="8">
        <v>0.74</v>
      </c>
      <c r="I1270" s="4">
        <v>0</v>
      </c>
    </row>
    <row r="1271" spans="1:9" x14ac:dyDescent="0.15">
      <c r="A1271" s="2">
        <v>15</v>
      </c>
      <c r="B1271" s="1" t="s">
        <v>126</v>
      </c>
      <c r="C1271" s="4">
        <v>5</v>
      </c>
      <c r="D1271" s="8">
        <v>1.19</v>
      </c>
      <c r="E1271" s="4">
        <v>2</v>
      </c>
      <c r="F1271" s="8">
        <v>0.7</v>
      </c>
      <c r="G1271" s="4">
        <v>3</v>
      </c>
      <c r="H1271" s="8">
        <v>2.21</v>
      </c>
      <c r="I1271" s="4">
        <v>0</v>
      </c>
    </row>
    <row r="1272" spans="1:9" x14ac:dyDescent="0.15">
      <c r="A1272" s="2">
        <v>17</v>
      </c>
      <c r="B1272" s="1" t="s">
        <v>88</v>
      </c>
      <c r="C1272" s="4">
        <v>4</v>
      </c>
      <c r="D1272" s="8">
        <v>0.95</v>
      </c>
      <c r="E1272" s="4">
        <v>1</v>
      </c>
      <c r="F1272" s="8">
        <v>0.35</v>
      </c>
      <c r="G1272" s="4">
        <v>3</v>
      </c>
      <c r="H1272" s="8">
        <v>2.21</v>
      </c>
      <c r="I1272" s="4">
        <v>0</v>
      </c>
    </row>
    <row r="1273" spans="1:9" x14ac:dyDescent="0.15">
      <c r="A1273" s="2">
        <v>17</v>
      </c>
      <c r="B1273" s="1" t="s">
        <v>98</v>
      </c>
      <c r="C1273" s="4">
        <v>4</v>
      </c>
      <c r="D1273" s="8">
        <v>0.95</v>
      </c>
      <c r="E1273" s="4">
        <v>2</v>
      </c>
      <c r="F1273" s="8">
        <v>0.7</v>
      </c>
      <c r="G1273" s="4">
        <v>2</v>
      </c>
      <c r="H1273" s="8">
        <v>1.47</v>
      </c>
      <c r="I1273" s="4">
        <v>0</v>
      </c>
    </row>
    <row r="1274" spans="1:9" x14ac:dyDescent="0.15">
      <c r="A1274" s="2">
        <v>19</v>
      </c>
      <c r="B1274" s="1" t="s">
        <v>106</v>
      </c>
      <c r="C1274" s="4">
        <v>3</v>
      </c>
      <c r="D1274" s="8">
        <v>0.71</v>
      </c>
      <c r="E1274" s="4">
        <v>0</v>
      </c>
      <c r="F1274" s="8">
        <v>0</v>
      </c>
      <c r="G1274" s="4">
        <v>3</v>
      </c>
      <c r="H1274" s="8">
        <v>2.21</v>
      </c>
      <c r="I1274" s="4">
        <v>0</v>
      </c>
    </row>
    <row r="1275" spans="1:9" x14ac:dyDescent="0.15">
      <c r="A1275" s="2">
        <v>19</v>
      </c>
      <c r="B1275" s="1" t="s">
        <v>90</v>
      </c>
      <c r="C1275" s="4">
        <v>3</v>
      </c>
      <c r="D1275" s="8">
        <v>0.71</v>
      </c>
      <c r="E1275" s="4">
        <v>2</v>
      </c>
      <c r="F1275" s="8">
        <v>0.7</v>
      </c>
      <c r="G1275" s="4">
        <v>1</v>
      </c>
      <c r="H1275" s="8">
        <v>0.74</v>
      </c>
      <c r="I1275" s="4">
        <v>0</v>
      </c>
    </row>
    <row r="1276" spans="1:9" x14ac:dyDescent="0.15">
      <c r="A1276" s="1"/>
      <c r="C1276" s="4"/>
      <c r="D1276" s="8"/>
      <c r="E1276" s="4"/>
      <c r="F1276" s="8"/>
      <c r="G1276" s="4"/>
      <c r="H1276" s="8"/>
      <c r="I1276" s="4"/>
    </row>
    <row r="1277" spans="1:9" x14ac:dyDescent="0.15">
      <c r="A1277" s="1" t="s">
        <v>57</v>
      </c>
      <c r="C1277" s="4"/>
      <c r="D1277" s="8"/>
      <c r="E1277" s="4"/>
      <c r="F1277" s="8"/>
      <c r="G1277" s="4"/>
      <c r="H1277" s="8"/>
      <c r="I1277" s="4"/>
    </row>
    <row r="1278" spans="1:9" x14ac:dyDescent="0.15">
      <c r="A1278" s="2">
        <v>1</v>
      </c>
      <c r="B1278" s="1" t="s">
        <v>111</v>
      </c>
      <c r="C1278" s="4">
        <v>156</v>
      </c>
      <c r="D1278" s="8">
        <v>20.47</v>
      </c>
      <c r="E1278" s="4">
        <v>32</v>
      </c>
      <c r="F1278" s="8">
        <v>10.49</v>
      </c>
      <c r="G1278" s="4">
        <v>123</v>
      </c>
      <c r="H1278" s="8">
        <v>27.27</v>
      </c>
      <c r="I1278" s="4">
        <v>1</v>
      </c>
    </row>
    <row r="1279" spans="1:9" x14ac:dyDescent="0.15">
      <c r="A1279" s="2">
        <v>2</v>
      </c>
      <c r="B1279" s="1" t="s">
        <v>99</v>
      </c>
      <c r="C1279" s="4">
        <v>132</v>
      </c>
      <c r="D1279" s="8">
        <v>17.32</v>
      </c>
      <c r="E1279" s="4">
        <v>85</v>
      </c>
      <c r="F1279" s="8">
        <v>27.87</v>
      </c>
      <c r="G1279" s="4">
        <v>47</v>
      </c>
      <c r="H1279" s="8">
        <v>10.42</v>
      </c>
      <c r="I1279" s="4">
        <v>0</v>
      </c>
    </row>
    <row r="1280" spans="1:9" x14ac:dyDescent="0.15">
      <c r="A1280" s="2">
        <v>3</v>
      </c>
      <c r="B1280" s="1" t="s">
        <v>96</v>
      </c>
      <c r="C1280" s="4">
        <v>79</v>
      </c>
      <c r="D1280" s="8">
        <v>10.37</v>
      </c>
      <c r="E1280" s="4">
        <v>34</v>
      </c>
      <c r="F1280" s="8">
        <v>11.15</v>
      </c>
      <c r="G1280" s="4">
        <v>44</v>
      </c>
      <c r="H1280" s="8">
        <v>9.76</v>
      </c>
      <c r="I1280" s="4">
        <v>1</v>
      </c>
    </row>
    <row r="1281" spans="1:9" x14ac:dyDescent="0.15">
      <c r="A1281" s="2">
        <v>4</v>
      </c>
      <c r="B1281" s="1" t="s">
        <v>94</v>
      </c>
      <c r="C1281" s="4">
        <v>61</v>
      </c>
      <c r="D1281" s="8">
        <v>8.01</v>
      </c>
      <c r="E1281" s="4">
        <v>29</v>
      </c>
      <c r="F1281" s="8">
        <v>9.51</v>
      </c>
      <c r="G1281" s="4">
        <v>32</v>
      </c>
      <c r="H1281" s="8">
        <v>7.1</v>
      </c>
      <c r="I1281" s="4">
        <v>0</v>
      </c>
    </row>
    <row r="1282" spans="1:9" x14ac:dyDescent="0.15">
      <c r="A1282" s="2">
        <v>5</v>
      </c>
      <c r="B1282" s="1" t="s">
        <v>92</v>
      </c>
      <c r="C1282" s="4">
        <v>59</v>
      </c>
      <c r="D1282" s="8">
        <v>7.74</v>
      </c>
      <c r="E1282" s="4">
        <v>19</v>
      </c>
      <c r="F1282" s="8">
        <v>6.23</v>
      </c>
      <c r="G1282" s="4">
        <v>40</v>
      </c>
      <c r="H1282" s="8">
        <v>8.8699999999999992</v>
      </c>
      <c r="I1282" s="4">
        <v>0</v>
      </c>
    </row>
    <row r="1283" spans="1:9" x14ac:dyDescent="0.15">
      <c r="A1283" s="2">
        <v>6</v>
      </c>
      <c r="B1283" s="1" t="s">
        <v>85</v>
      </c>
      <c r="C1283" s="4">
        <v>45</v>
      </c>
      <c r="D1283" s="8">
        <v>5.91</v>
      </c>
      <c r="E1283" s="4">
        <v>6</v>
      </c>
      <c r="F1283" s="8">
        <v>1.97</v>
      </c>
      <c r="G1283" s="4">
        <v>39</v>
      </c>
      <c r="H1283" s="8">
        <v>8.65</v>
      </c>
      <c r="I1283" s="4">
        <v>0</v>
      </c>
    </row>
    <row r="1284" spans="1:9" x14ac:dyDescent="0.15">
      <c r="A1284" s="2">
        <v>7</v>
      </c>
      <c r="B1284" s="1" t="s">
        <v>100</v>
      </c>
      <c r="C1284" s="4">
        <v>32</v>
      </c>
      <c r="D1284" s="8">
        <v>4.2</v>
      </c>
      <c r="E1284" s="4">
        <v>24</v>
      </c>
      <c r="F1284" s="8">
        <v>7.87</v>
      </c>
      <c r="G1284" s="4">
        <v>7</v>
      </c>
      <c r="H1284" s="8">
        <v>1.55</v>
      </c>
      <c r="I1284" s="4">
        <v>1</v>
      </c>
    </row>
    <row r="1285" spans="1:9" x14ac:dyDescent="0.15">
      <c r="A1285" s="2">
        <v>8</v>
      </c>
      <c r="B1285" s="1" t="s">
        <v>87</v>
      </c>
      <c r="C1285" s="4">
        <v>25</v>
      </c>
      <c r="D1285" s="8">
        <v>3.28</v>
      </c>
      <c r="E1285" s="4">
        <v>7</v>
      </c>
      <c r="F1285" s="8">
        <v>2.2999999999999998</v>
      </c>
      <c r="G1285" s="4">
        <v>18</v>
      </c>
      <c r="H1285" s="8">
        <v>3.99</v>
      </c>
      <c r="I1285" s="4">
        <v>0</v>
      </c>
    </row>
    <row r="1286" spans="1:9" x14ac:dyDescent="0.15">
      <c r="A1286" s="2">
        <v>9</v>
      </c>
      <c r="B1286" s="1" t="s">
        <v>86</v>
      </c>
      <c r="C1286" s="4">
        <v>20</v>
      </c>
      <c r="D1286" s="8">
        <v>2.62</v>
      </c>
      <c r="E1286" s="4">
        <v>8</v>
      </c>
      <c r="F1286" s="8">
        <v>2.62</v>
      </c>
      <c r="G1286" s="4">
        <v>12</v>
      </c>
      <c r="H1286" s="8">
        <v>2.66</v>
      </c>
      <c r="I1286" s="4">
        <v>0</v>
      </c>
    </row>
    <row r="1287" spans="1:9" x14ac:dyDescent="0.15">
      <c r="A1287" s="2">
        <v>10</v>
      </c>
      <c r="B1287" s="1" t="s">
        <v>91</v>
      </c>
      <c r="C1287" s="4">
        <v>16</v>
      </c>
      <c r="D1287" s="8">
        <v>2.1</v>
      </c>
      <c r="E1287" s="4">
        <v>8</v>
      </c>
      <c r="F1287" s="8">
        <v>2.62</v>
      </c>
      <c r="G1287" s="4">
        <v>8</v>
      </c>
      <c r="H1287" s="8">
        <v>1.77</v>
      </c>
      <c r="I1287" s="4">
        <v>0</v>
      </c>
    </row>
    <row r="1288" spans="1:9" x14ac:dyDescent="0.15">
      <c r="A1288" s="2">
        <v>11</v>
      </c>
      <c r="B1288" s="1" t="s">
        <v>126</v>
      </c>
      <c r="C1288" s="4">
        <v>12</v>
      </c>
      <c r="D1288" s="8">
        <v>1.57</v>
      </c>
      <c r="E1288" s="4">
        <v>0</v>
      </c>
      <c r="F1288" s="8">
        <v>0</v>
      </c>
      <c r="G1288" s="4">
        <v>12</v>
      </c>
      <c r="H1288" s="8">
        <v>2.66</v>
      </c>
      <c r="I1288" s="4">
        <v>0</v>
      </c>
    </row>
    <row r="1289" spans="1:9" x14ac:dyDescent="0.15">
      <c r="A1289" s="2">
        <v>11</v>
      </c>
      <c r="B1289" s="1" t="s">
        <v>102</v>
      </c>
      <c r="C1289" s="4">
        <v>12</v>
      </c>
      <c r="D1289" s="8">
        <v>1.57</v>
      </c>
      <c r="E1289" s="4">
        <v>6</v>
      </c>
      <c r="F1289" s="8">
        <v>1.97</v>
      </c>
      <c r="G1289" s="4">
        <v>6</v>
      </c>
      <c r="H1289" s="8">
        <v>1.33</v>
      </c>
      <c r="I1289" s="4">
        <v>0</v>
      </c>
    </row>
    <row r="1290" spans="1:9" x14ac:dyDescent="0.15">
      <c r="A1290" s="2">
        <v>13</v>
      </c>
      <c r="B1290" s="1" t="s">
        <v>116</v>
      </c>
      <c r="C1290" s="4">
        <v>11</v>
      </c>
      <c r="D1290" s="8">
        <v>1.44</v>
      </c>
      <c r="E1290" s="4">
        <v>8</v>
      </c>
      <c r="F1290" s="8">
        <v>2.62</v>
      </c>
      <c r="G1290" s="4">
        <v>3</v>
      </c>
      <c r="H1290" s="8">
        <v>0.67</v>
      </c>
      <c r="I1290" s="4">
        <v>0</v>
      </c>
    </row>
    <row r="1291" spans="1:9" x14ac:dyDescent="0.15">
      <c r="A1291" s="2">
        <v>13</v>
      </c>
      <c r="B1291" s="1" t="s">
        <v>103</v>
      </c>
      <c r="C1291" s="4">
        <v>11</v>
      </c>
      <c r="D1291" s="8">
        <v>1.44</v>
      </c>
      <c r="E1291" s="4">
        <v>11</v>
      </c>
      <c r="F1291" s="8">
        <v>3.61</v>
      </c>
      <c r="G1291" s="4">
        <v>0</v>
      </c>
      <c r="H1291" s="8">
        <v>0</v>
      </c>
      <c r="I1291" s="4">
        <v>0</v>
      </c>
    </row>
    <row r="1292" spans="1:9" x14ac:dyDescent="0.15">
      <c r="A1292" s="2">
        <v>13</v>
      </c>
      <c r="B1292" s="1" t="s">
        <v>104</v>
      </c>
      <c r="C1292" s="4">
        <v>11</v>
      </c>
      <c r="D1292" s="8">
        <v>1.44</v>
      </c>
      <c r="E1292" s="4">
        <v>0</v>
      </c>
      <c r="F1292" s="8">
        <v>0</v>
      </c>
      <c r="G1292" s="4">
        <v>10</v>
      </c>
      <c r="H1292" s="8">
        <v>2.2200000000000002</v>
      </c>
      <c r="I1292" s="4">
        <v>1</v>
      </c>
    </row>
    <row r="1293" spans="1:9" x14ac:dyDescent="0.15">
      <c r="A1293" s="2">
        <v>16</v>
      </c>
      <c r="B1293" s="1" t="s">
        <v>98</v>
      </c>
      <c r="C1293" s="4">
        <v>10</v>
      </c>
      <c r="D1293" s="8">
        <v>1.31</v>
      </c>
      <c r="E1293" s="4">
        <v>1</v>
      </c>
      <c r="F1293" s="8">
        <v>0.33</v>
      </c>
      <c r="G1293" s="4">
        <v>9</v>
      </c>
      <c r="H1293" s="8">
        <v>2</v>
      </c>
      <c r="I1293" s="4">
        <v>0</v>
      </c>
    </row>
    <row r="1294" spans="1:9" x14ac:dyDescent="0.15">
      <c r="A1294" s="2">
        <v>17</v>
      </c>
      <c r="B1294" s="1" t="s">
        <v>127</v>
      </c>
      <c r="C1294" s="4">
        <v>7</v>
      </c>
      <c r="D1294" s="8">
        <v>0.92</v>
      </c>
      <c r="E1294" s="4">
        <v>7</v>
      </c>
      <c r="F1294" s="8">
        <v>2.2999999999999998</v>
      </c>
      <c r="G1294" s="4">
        <v>0</v>
      </c>
      <c r="H1294" s="8">
        <v>0</v>
      </c>
      <c r="I1294" s="4">
        <v>0</v>
      </c>
    </row>
    <row r="1295" spans="1:9" x14ac:dyDescent="0.15">
      <c r="A1295" s="2">
        <v>17</v>
      </c>
      <c r="B1295" s="1" t="s">
        <v>107</v>
      </c>
      <c r="C1295" s="4">
        <v>7</v>
      </c>
      <c r="D1295" s="8">
        <v>0.92</v>
      </c>
      <c r="E1295" s="4">
        <v>2</v>
      </c>
      <c r="F1295" s="8">
        <v>0.66</v>
      </c>
      <c r="G1295" s="4">
        <v>5</v>
      </c>
      <c r="H1295" s="8">
        <v>1.1100000000000001</v>
      </c>
      <c r="I1295" s="4">
        <v>0</v>
      </c>
    </row>
    <row r="1296" spans="1:9" x14ac:dyDescent="0.15">
      <c r="A1296" s="2">
        <v>19</v>
      </c>
      <c r="B1296" s="1" t="s">
        <v>129</v>
      </c>
      <c r="C1296" s="4">
        <v>6</v>
      </c>
      <c r="D1296" s="8">
        <v>0.79</v>
      </c>
      <c r="E1296" s="4">
        <v>3</v>
      </c>
      <c r="F1296" s="8">
        <v>0.98</v>
      </c>
      <c r="G1296" s="4">
        <v>3</v>
      </c>
      <c r="H1296" s="8">
        <v>0.67</v>
      </c>
      <c r="I1296" s="4">
        <v>0</v>
      </c>
    </row>
    <row r="1297" spans="1:9" x14ac:dyDescent="0.15">
      <c r="A1297" s="2">
        <v>19</v>
      </c>
      <c r="B1297" s="1" t="s">
        <v>101</v>
      </c>
      <c r="C1297" s="4">
        <v>6</v>
      </c>
      <c r="D1297" s="8">
        <v>0.79</v>
      </c>
      <c r="E1297" s="4">
        <v>2</v>
      </c>
      <c r="F1297" s="8">
        <v>0.66</v>
      </c>
      <c r="G1297" s="4">
        <v>4</v>
      </c>
      <c r="H1297" s="8">
        <v>0.89</v>
      </c>
      <c r="I1297" s="4">
        <v>0</v>
      </c>
    </row>
    <row r="1298" spans="1:9" x14ac:dyDescent="0.15">
      <c r="A1298" s="1"/>
      <c r="C1298" s="4"/>
      <c r="D1298" s="8"/>
      <c r="E1298" s="4"/>
      <c r="F1298" s="8"/>
      <c r="G1298" s="4"/>
      <c r="H1298" s="8"/>
      <c r="I1298" s="4"/>
    </row>
    <row r="1299" spans="1:9" x14ac:dyDescent="0.15">
      <c r="A1299" s="1" t="s">
        <v>58</v>
      </c>
      <c r="C1299" s="4"/>
      <c r="D1299" s="8"/>
      <c r="E1299" s="4"/>
      <c r="F1299" s="8"/>
      <c r="G1299" s="4"/>
      <c r="H1299" s="8"/>
      <c r="I1299" s="4"/>
    </row>
    <row r="1300" spans="1:9" x14ac:dyDescent="0.15">
      <c r="A1300" s="2">
        <v>1</v>
      </c>
      <c r="B1300" s="1" t="s">
        <v>99</v>
      </c>
      <c r="C1300" s="4">
        <v>28</v>
      </c>
      <c r="D1300" s="8">
        <v>13.02</v>
      </c>
      <c r="E1300" s="4">
        <v>26</v>
      </c>
      <c r="F1300" s="8">
        <v>20.16</v>
      </c>
      <c r="G1300" s="4">
        <v>2</v>
      </c>
      <c r="H1300" s="8">
        <v>2.33</v>
      </c>
      <c r="I1300" s="4">
        <v>0</v>
      </c>
    </row>
    <row r="1301" spans="1:9" x14ac:dyDescent="0.15">
      <c r="A1301" s="2">
        <v>2</v>
      </c>
      <c r="B1301" s="1" t="s">
        <v>94</v>
      </c>
      <c r="C1301" s="4">
        <v>20</v>
      </c>
      <c r="D1301" s="8">
        <v>9.3000000000000007</v>
      </c>
      <c r="E1301" s="4">
        <v>16</v>
      </c>
      <c r="F1301" s="8">
        <v>12.4</v>
      </c>
      <c r="G1301" s="4">
        <v>4</v>
      </c>
      <c r="H1301" s="8">
        <v>4.6500000000000004</v>
      </c>
      <c r="I1301" s="4">
        <v>0</v>
      </c>
    </row>
    <row r="1302" spans="1:9" x14ac:dyDescent="0.15">
      <c r="A1302" s="2">
        <v>2</v>
      </c>
      <c r="B1302" s="1" t="s">
        <v>100</v>
      </c>
      <c r="C1302" s="4">
        <v>20</v>
      </c>
      <c r="D1302" s="8">
        <v>9.3000000000000007</v>
      </c>
      <c r="E1302" s="4">
        <v>20</v>
      </c>
      <c r="F1302" s="8">
        <v>15.5</v>
      </c>
      <c r="G1302" s="4">
        <v>0</v>
      </c>
      <c r="H1302" s="8">
        <v>0</v>
      </c>
      <c r="I1302" s="4">
        <v>0</v>
      </c>
    </row>
    <row r="1303" spans="1:9" x14ac:dyDescent="0.15">
      <c r="A1303" s="2">
        <v>4</v>
      </c>
      <c r="B1303" s="1" t="s">
        <v>92</v>
      </c>
      <c r="C1303" s="4">
        <v>18</v>
      </c>
      <c r="D1303" s="8">
        <v>8.3699999999999992</v>
      </c>
      <c r="E1303" s="4">
        <v>9</v>
      </c>
      <c r="F1303" s="8">
        <v>6.98</v>
      </c>
      <c r="G1303" s="4">
        <v>9</v>
      </c>
      <c r="H1303" s="8">
        <v>10.47</v>
      </c>
      <c r="I1303" s="4">
        <v>0</v>
      </c>
    </row>
    <row r="1304" spans="1:9" x14ac:dyDescent="0.15">
      <c r="A1304" s="2">
        <v>4</v>
      </c>
      <c r="B1304" s="1" t="s">
        <v>96</v>
      </c>
      <c r="C1304" s="4">
        <v>18</v>
      </c>
      <c r="D1304" s="8">
        <v>8.3699999999999992</v>
      </c>
      <c r="E1304" s="4">
        <v>16</v>
      </c>
      <c r="F1304" s="8">
        <v>12.4</v>
      </c>
      <c r="G1304" s="4">
        <v>2</v>
      </c>
      <c r="H1304" s="8">
        <v>2.33</v>
      </c>
      <c r="I1304" s="4">
        <v>0</v>
      </c>
    </row>
    <row r="1305" spans="1:9" x14ac:dyDescent="0.15">
      <c r="A1305" s="2">
        <v>6</v>
      </c>
      <c r="B1305" s="1" t="s">
        <v>111</v>
      </c>
      <c r="C1305" s="4">
        <v>15</v>
      </c>
      <c r="D1305" s="8">
        <v>6.98</v>
      </c>
      <c r="E1305" s="4">
        <v>12</v>
      </c>
      <c r="F1305" s="8">
        <v>9.3000000000000007</v>
      </c>
      <c r="G1305" s="4">
        <v>3</v>
      </c>
      <c r="H1305" s="8">
        <v>3.49</v>
      </c>
      <c r="I1305" s="4">
        <v>0</v>
      </c>
    </row>
    <row r="1306" spans="1:9" x14ac:dyDescent="0.15">
      <c r="A1306" s="2">
        <v>7</v>
      </c>
      <c r="B1306" s="1" t="s">
        <v>85</v>
      </c>
      <c r="C1306" s="4">
        <v>11</v>
      </c>
      <c r="D1306" s="8">
        <v>5.12</v>
      </c>
      <c r="E1306" s="4">
        <v>2</v>
      </c>
      <c r="F1306" s="8">
        <v>1.55</v>
      </c>
      <c r="G1306" s="4">
        <v>9</v>
      </c>
      <c r="H1306" s="8">
        <v>10.47</v>
      </c>
      <c r="I1306" s="4">
        <v>0</v>
      </c>
    </row>
    <row r="1307" spans="1:9" x14ac:dyDescent="0.15">
      <c r="A1307" s="2">
        <v>7</v>
      </c>
      <c r="B1307" s="1" t="s">
        <v>86</v>
      </c>
      <c r="C1307" s="4">
        <v>11</v>
      </c>
      <c r="D1307" s="8">
        <v>5.12</v>
      </c>
      <c r="E1307" s="4">
        <v>6</v>
      </c>
      <c r="F1307" s="8">
        <v>4.6500000000000004</v>
      </c>
      <c r="G1307" s="4">
        <v>5</v>
      </c>
      <c r="H1307" s="8">
        <v>5.81</v>
      </c>
      <c r="I1307" s="4">
        <v>0</v>
      </c>
    </row>
    <row r="1308" spans="1:9" x14ac:dyDescent="0.15">
      <c r="A1308" s="2">
        <v>7</v>
      </c>
      <c r="B1308" s="1" t="s">
        <v>131</v>
      </c>
      <c r="C1308" s="4">
        <v>11</v>
      </c>
      <c r="D1308" s="8">
        <v>5.12</v>
      </c>
      <c r="E1308" s="4">
        <v>0</v>
      </c>
      <c r="F1308" s="8">
        <v>0</v>
      </c>
      <c r="G1308" s="4">
        <v>11</v>
      </c>
      <c r="H1308" s="8">
        <v>12.79</v>
      </c>
      <c r="I1308" s="4">
        <v>0</v>
      </c>
    </row>
    <row r="1309" spans="1:9" x14ac:dyDescent="0.15">
      <c r="A1309" s="2">
        <v>10</v>
      </c>
      <c r="B1309" s="1" t="s">
        <v>130</v>
      </c>
      <c r="C1309" s="4">
        <v>5</v>
      </c>
      <c r="D1309" s="8">
        <v>2.33</v>
      </c>
      <c r="E1309" s="4">
        <v>0</v>
      </c>
      <c r="F1309" s="8">
        <v>0</v>
      </c>
      <c r="G1309" s="4">
        <v>5</v>
      </c>
      <c r="H1309" s="8">
        <v>5.81</v>
      </c>
      <c r="I1309" s="4">
        <v>0</v>
      </c>
    </row>
    <row r="1310" spans="1:9" x14ac:dyDescent="0.15">
      <c r="A1310" s="2">
        <v>10</v>
      </c>
      <c r="B1310" s="1" t="s">
        <v>87</v>
      </c>
      <c r="C1310" s="4">
        <v>5</v>
      </c>
      <c r="D1310" s="8">
        <v>2.33</v>
      </c>
      <c r="E1310" s="4">
        <v>1</v>
      </c>
      <c r="F1310" s="8">
        <v>0.78</v>
      </c>
      <c r="G1310" s="4">
        <v>4</v>
      </c>
      <c r="H1310" s="8">
        <v>4.6500000000000004</v>
      </c>
      <c r="I1310" s="4">
        <v>0</v>
      </c>
    </row>
    <row r="1311" spans="1:9" x14ac:dyDescent="0.15">
      <c r="A1311" s="2">
        <v>12</v>
      </c>
      <c r="B1311" s="1" t="s">
        <v>121</v>
      </c>
      <c r="C1311" s="4">
        <v>4</v>
      </c>
      <c r="D1311" s="8">
        <v>1.86</v>
      </c>
      <c r="E1311" s="4">
        <v>1</v>
      </c>
      <c r="F1311" s="8">
        <v>0.78</v>
      </c>
      <c r="G1311" s="4">
        <v>3</v>
      </c>
      <c r="H1311" s="8">
        <v>3.49</v>
      </c>
      <c r="I1311" s="4">
        <v>0</v>
      </c>
    </row>
    <row r="1312" spans="1:9" x14ac:dyDescent="0.15">
      <c r="A1312" s="2">
        <v>12</v>
      </c>
      <c r="B1312" s="1" t="s">
        <v>93</v>
      </c>
      <c r="C1312" s="4">
        <v>4</v>
      </c>
      <c r="D1312" s="8">
        <v>1.86</v>
      </c>
      <c r="E1312" s="4">
        <v>1</v>
      </c>
      <c r="F1312" s="8">
        <v>0.78</v>
      </c>
      <c r="G1312" s="4">
        <v>3</v>
      </c>
      <c r="H1312" s="8">
        <v>3.49</v>
      </c>
      <c r="I1312" s="4">
        <v>0</v>
      </c>
    </row>
    <row r="1313" spans="1:9" x14ac:dyDescent="0.15">
      <c r="A1313" s="2">
        <v>12</v>
      </c>
      <c r="B1313" s="1" t="s">
        <v>95</v>
      </c>
      <c r="C1313" s="4">
        <v>4</v>
      </c>
      <c r="D1313" s="8">
        <v>1.86</v>
      </c>
      <c r="E1313" s="4">
        <v>1</v>
      </c>
      <c r="F1313" s="8">
        <v>0.78</v>
      </c>
      <c r="G1313" s="4">
        <v>3</v>
      </c>
      <c r="H1313" s="8">
        <v>3.49</v>
      </c>
      <c r="I1313" s="4">
        <v>0</v>
      </c>
    </row>
    <row r="1314" spans="1:9" x14ac:dyDescent="0.15">
      <c r="A1314" s="2">
        <v>12</v>
      </c>
      <c r="B1314" s="1" t="s">
        <v>116</v>
      </c>
      <c r="C1314" s="4">
        <v>4</v>
      </c>
      <c r="D1314" s="8">
        <v>1.86</v>
      </c>
      <c r="E1314" s="4">
        <v>0</v>
      </c>
      <c r="F1314" s="8">
        <v>0</v>
      </c>
      <c r="G1314" s="4">
        <v>4</v>
      </c>
      <c r="H1314" s="8">
        <v>4.6500000000000004</v>
      </c>
      <c r="I1314" s="4">
        <v>0</v>
      </c>
    </row>
    <row r="1315" spans="1:9" x14ac:dyDescent="0.15">
      <c r="A1315" s="2">
        <v>12</v>
      </c>
      <c r="B1315" s="1" t="s">
        <v>103</v>
      </c>
      <c r="C1315" s="4">
        <v>4</v>
      </c>
      <c r="D1315" s="8">
        <v>1.86</v>
      </c>
      <c r="E1315" s="4">
        <v>4</v>
      </c>
      <c r="F1315" s="8">
        <v>3.1</v>
      </c>
      <c r="G1315" s="4">
        <v>0</v>
      </c>
      <c r="H1315" s="8">
        <v>0</v>
      </c>
      <c r="I1315" s="4">
        <v>0</v>
      </c>
    </row>
    <row r="1316" spans="1:9" x14ac:dyDescent="0.15">
      <c r="A1316" s="2">
        <v>17</v>
      </c>
      <c r="B1316" s="1" t="s">
        <v>105</v>
      </c>
      <c r="C1316" s="4">
        <v>3</v>
      </c>
      <c r="D1316" s="8">
        <v>1.4</v>
      </c>
      <c r="E1316" s="4">
        <v>2</v>
      </c>
      <c r="F1316" s="8">
        <v>1.55</v>
      </c>
      <c r="G1316" s="4">
        <v>1</v>
      </c>
      <c r="H1316" s="8">
        <v>1.1599999999999999</v>
      </c>
      <c r="I1316" s="4">
        <v>0</v>
      </c>
    </row>
    <row r="1317" spans="1:9" x14ac:dyDescent="0.15">
      <c r="A1317" s="2">
        <v>17</v>
      </c>
      <c r="B1317" s="1" t="s">
        <v>108</v>
      </c>
      <c r="C1317" s="4">
        <v>3</v>
      </c>
      <c r="D1317" s="8">
        <v>1.4</v>
      </c>
      <c r="E1317" s="4">
        <v>0</v>
      </c>
      <c r="F1317" s="8">
        <v>0</v>
      </c>
      <c r="G1317" s="4">
        <v>3</v>
      </c>
      <c r="H1317" s="8">
        <v>3.49</v>
      </c>
      <c r="I1317" s="4">
        <v>0</v>
      </c>
    </row>
    <row r="1318" spans="1:9" x14ac:dyDescent="0.15">
      <c r="A1318" s="2">
        <v>19</v>
      </c>
      <c r="B1318" s="1" t="s">
        <v>109</v>
      </c>
      <c r="C1318" s="4">
        <v>2</v>
      </c>
      <c r="D1318" s="8">
        <v>0.93</v>
      </c>
      <c r="E1318" s="4">
        <v>1</v>
      </c>
      <c r="F1318" s="8">
        <v>0.78</v>
      </c>
      <c r="G1318" s="4">
        <v>1</v>
      </c>
      <c r="H1318" s="8">
        <v>1.1599999999999999</v>
      </c>
      <c r="I1318" s="4">
        <v>0</v>
      </c>
    </row>
    <row r="1319" spans="1:9" x14ac:dyDescent="0.15">
      <c r="A1319" s="2">
        <v>19</v>
      </c>
      <c r="B1319" s="1" t="s">
        <v>132</v>
      </c>
      <c r="C1319" s="4">
        <v>2</v>
      </c>
      <c r="D1319" s="8">
        <v>0.93</v>
      </c>
      <c r="E1319" s="4">
        <v>1</v>
      </c>
      <c r="F1319" s="8">
        <v>0.78</v>
      </c>
      <c r="G1319" s="4">
        <v>1</v>
      </c>
      <c r="H1319" s="8">
        <v>1.1599999999999999</v>
      </c>
      <c r="I1319" s="4">
        <v>0</v>
      </c>
    </row>
    <row r="1320" spans="1:9" x14ac:dyDescent="0.15">
      <c r="A1320" s="2">
        <v>19</v>
      </c>
      <c r="B1320" s="1" t="s">
        <v>106</v>
      </c>
      <c r="C1320" s="4">
        <v>2</v>
      </c>
      <c r="D1320" s="8">
        <v>0.93</v>
      </c>
      <c r="E1320" s="4">
        <v>1</v>
      </c>
      <c r="F1320" s="8">
        <v>0.78</v>
      </c>
      <c r="G1320" s="4">
        <v>1</v>
      </c>
      <c r="H1320" s="8">
        <v>1.1599999999999999</v>
      </c>
      <c r="I1320" s="4">
        <v>0</v>
      </c>
    </row>
    <row r="1321" spans="1:9" x14ac:dyDescent="0.15">
      <c r="A1321" s="2">
        <v>19</v>
      </c>
      <c r="B1321" s="1" t="s">
        <v>91</v>
      </c>
      <c r="C1321" s="4">
        <v>2</v>
      </c>
      <c r="D1321" s="8">
        <v>0.93</v>
      </c>
      <c r="E1321" s="4">
        <v>2</v>
      </c>
      <c r="F1321" s="8">
        <v>1.55</v>
      </c>
      <c r="G1321" s="4">
        <v>0</v>
      </c>
      <c r="H1321" s="8">
        <v>0</v>
      </c>
      <c r="I1321" s="4">
        <v>0</v>
      </c>
    </row>
    <row r="1322" spans="1:9" x14ac:dyDescent="0.15">
      <c r="A1322" s="2">
        <v>19</v>
      </c>
      <c r="B1322" s="1" t="s">
        <v>118</v>
      </c>
      <c r="C1322" s="4">
        <v>2</v>
      </c>
      <c r="D1322" s="8">
        <v>0.93</v>
      </c>
      <c r="E1322" s="4">
        <v>0</v>
      </c>
      <c r="F1322" s="8">
        <v>0</v>
      </c>
      <c r="G1322" s="4">
        <v>2</v>
      </c>
      <c r="H1322" s="8">
        <v>2.33</v>
      </c>
      <c r="I1322" s="4">
        <v>0</v>
      </c>
    </row>
    <row r="1323" spans="1:9" x14ac:dyDescent="0.15">
      <c r="A1323" s="2">
        <v>19</v>
      </c>
      <c r="B1323" s="1" t="s">
        <v>129</v>
      </c>
      <c r="C1323" s="4">
        <v>2</v>
      </c>
      <c r="D1323" s="8">
        <v>0.93</v>
      </c>
      <c r="E1323" s="4">
        <v>1</v>
      </c>
      <c r="F1323" s="8">
        <v>0.78</v>
      </c>
      <c r="G1323" s="4">
        <v>1</v>
      </c>
      <c r="H1323" s="8">
        <v>1.1599999999999999</v>
      </c>
      <c r="I1323" s="4">
        <v>0</v>
      </c>
    </row>
    <row r="1324" spans="1:9" x14ac:dyDescent="0.15">
      <c r="A1324" s="2">
        <v>19</v>
      </c>
      <c r="B1324" s="1" t="s">
        <v>101</v>
      </c>
      <c r="C1324" s="4">
        <v>2</v>
      </c>
      <c r="D1324" s="8">
        <v>0.93</v>
      </c>
      <c r="E1324" s="4">
        <v>0</v>
      </c>
      <c r="F1324" s="8">
        <v>0</v>
      </c>
      <c r="G1324" s="4">
        <v>2</v>
      </c>
      <c r="H1324" s="8">
        <v>2.33</v>
      </c>
      <c r="I1324" s="4">
        <v>0</v>
      </c>
    </row>
    <row r="1325" spans="1:9" x14ac:dyDescent="0.15">
      <c r="A1325" s="1"/>
      <c r="C1325" s="4"/>
      <c r="D1325" s="8"/>
      <c r="E1325" s="4"/>
      <c r="F1325" s="8"/>
      <c r="G1325" s="4"/>
      <c r="H1325" s="8"/>
      <c r="I1325" s="4"/>
    </row>
    <row r="1326" spans="1:9" x14ac:dyDescent="0.15">
      <c r="A1326" s="1" t="s">
        <v>59</v>
      </c>
      <c r="C1326" s="4"/>
      <c r="D1326" s="8"/>
      <c r="E1326" s="4"/>
      <c r="F1326" s="8"/>
      <c r="G1326" s="4"/>
      <c r="H1326" s="8"/>
      <c r="I1326" s="4"/>
    </row>
    <row r="1327" spans="1:9" x14ac:dyDescent="0.15">
      <c r="A1327" s="2">
        <v>1</v>
      </c>
      <c r="B1327" s="1" t="s">
        <v>99</v>
      </c>
      <c r="C1327" s="4">
        <v>131</v>
      </c>
      <c r="D1327" s="8">
        <v>15.94</v>
      </c>
      <c r="E1327" s="4">
        <v>114</v>
      </c>
      <c r="F1327" s="8">
        <v>22.57</v>
      </c>
      <c r="G1327" s="4">
        <v>17</v>
      </c>
      <c r="H1327" s="8">
        <v>5.36</v>
      </c>
      <c r="I1327" s="4">
        <v>0</v>
      </c>
    </row>
    <row r="1328" spans="1:9" x14ac:dyDescent="0.15">
      <c r="A1328" s="2">
        <v>2</v>
      </c>
      <c r="B1328" s="1" t="s">
        <v>100</v>
      </c>
      <c r="C1328" s="4">
        <v>83</v>
      </c>
      <c r="D1328" s="8">
        <v>10.1</v>
      </c>
      <c r="E1328" s="4">
        <v>75</v>
      </c>
      <c r="F1328" s="8">
        <v>14.85</v>
      </c>
      <c r="G1328" s="4">
        <v>8</v>
      </c>
      <c r="H1328" s="8">
        <v>2.52</v>
      </c>
      <c r="I1328" s="4">
        <v>0</v>
      </c>
    </row>
    <row r="1329" spans="1:9" x14ac:dyDescent="0.15">
      <c r="A1329" s="2">
        <v>3</v>
      </c>
      <c r="B1329" s="1" t="s">
        <v>96</v>
      </c>
      <c r="C1329" s="4">
        <v>77</v>
      </c>
      <c r="D1329" s="8">
        <v>9.3699999999999992</v>
      </c>
      <c r="E1329" s="4">
        <v>59</v>
      </c>
      <c r="F1329" s="8">
        <v>11.68</v>
      </c>
      <c r="G1329" s="4">
        <v>18</v>
      </c>
      <c r="H1329" s="8">
        <v>5.68</v>
      </c>
      <c r="I1329" s="4">
        <v>0</v>
      </c>
    </row>
    <row r="1330" spans="1:9" x14ac:dyDescent="0.15">
      <c r="A1330" s="2">
        <v>4</v>
      </c>
      <c r="B1330" s="1" t="s">
        <v>92</v>
      </c>
      <c r="C1330" s="4">
        <v>72</v>
      </c>
      <c r="D1330" s="8">
        <v>8.76</v>
      </c>
      <c r="E1330" s="4">
        <v>48</v>
      </c>
      <c r="F1330" s="8">
        <v>9.5</v>
      </c>
      <c r="G1330" s="4">
        <v>24</v>
      </c>
      <c r="H1330" s="8">
        <v>7.57</v>
      </c>
      <c r="I1330" s="4">
        <v>0</v>
      </c>
    </row>
    <row r="1331" spans="1:9" x14ac:dyDescent="0.15">
      <c r="A1331" s="2">
        <v>5</v>
      </c>
      <c r="B1331" s="1" t="s">
        <v>94</v>
      </c>
      <c r="C1331" s="4">
        <v>48</v>
      </c>
      <c r="D1331" s="8">
        <v>5.84</v>
      </c>
      <c r="E1331" s="4">
        <v>26</v>
      </c>
      <c r="F1331" s="8">
        <v>5.15</v>
      </c>
      <c r="G1331" s="4">
        <v>22</v>
      </c>
      <c r="H1331" s="8">
        <v>6.94</v>
      </c>
      <c r="I1331" s="4">
        <v>0</v>
      </c>
    </row>
    <row r="1332" spans="1:9" x14ac:dyDescent="0.15">
      <c r="A1332" s="2">
        <v>6</v>
      </c>
      <c r="B1332" s="1" t="s">
        <v>85</v>
      </c>
      <c r="C1332" s="4">
        <v>41</v>
      </c>
      <c r="D1332" s="8">
        <v>4.99</v>
      </c>
      <c r="E1332" s="4">
        <v>10</v>
      </c>
      <c r="F1332" s="8">
        <v>1.98</v>
      </c>
      <c r="G1332" s="4">
        <v>31</v>
      </c>
      <c r="H1332" s="8">
        <v>9.7799999999999994</v>
      </c>
      <c r="I1332" s="4">
        <v>0</v>
      </c>
    </row>
    <row r="1333" spans="1:9" x14ac:dyDescent="0.15">
      <c r="A1333" s="2">
        <v>7</v>
      </c>
      <c r="B1333" s="1" t="s">
        <v>86</v>
      </c>
      <c r="C1333" s="4">
        <v>40</v>
      </c>
      <c r="D1333" s="8">
        <v>4.87</v>
      </c>
      <c r="E1333" s="4">
        <v>17</v>
      </c>
      <c r="F1333" s="8">
        <v>3.37</v>
      </c>
      <c r="G1333" s="4">
        <v>23</v>
      </c>
      <c r="H1333" s="8">
        <v>7.26</v>
      </c>
      <c r="I1333" s="4">
        <v>0</v>
      </c>
    </row>
    <row r="1334" spans="1:9" x14ac:dyDescent="0.15">
      <c r="A1334" s="2">
        <v>8</v>
      </c>
      <c r="B1334" s="1" t="s">
        <v>87</v>
      </c>
      <c r="C1334" s="4">
        <v>34</v>
      </c>
      <c r="D1334" s="8">
        <v>4.1399999999999997</v>
      </c>
      <c r="E1334" s="4">
        <v>10</v>
      </c>
      <c r="F1334" s="8">
        <v>1.98</v>
      </c>
      <c r="G1334" s="4">
        <v>24</v>
      </c>
      <c r="H1334" s="8">
        <v>7.57</v>
      </c>
      <c r="I1334" s="4">
        <v>0</v>
      </c>
    </row>
    <row r="1335" spans="1:9" x14ac:dyDescent="0.15">
      <c r="A1335" s="2">
        <v>9</v>
      </c>
      <c r="B1335" s="1" t="s">
        <v>91</v>
      </c>
      <c r="C1335" s="4">
        <v>33</v>
      </c>
      <c r="D1335" s="8">
        <v>4.01</v>
      </c>
      <c r="E1335" s="4">
        <v>25</v>
      </c>
      <c r="F1335" s="8">
        <v>4.95</v>
      </c>
      <c r="G1335" s="4">
        <v>8</v>
      </c>
      <c r="H1335" s="8">
        <v>2.52</v>
      </c>
      <c r="I1335" s="4">
        <v>0</v>
      </c>
    </row>
    <row r="1336" spans="1:9" x14ac:dyDescent="0.15">
      <c r="A1336" s="2">
        <v>10</v>
      </c>
      <c r="B1336" s="1" t="s">
        <v>111</v>
      </c>
      <c r="C1336" s="4">
        <v>31</v>
      </c>
      <c r="D1336" s="8">
        <v>3.77</v>
      </c>
      <c r="E1336" s="4">
        <v>17</v>
      </c>
      <c r="F1336" s="8">
        <v>3.37</v>
      </c>
      <c r="G1336" s="4">
        <v>14</v>
      </c>
      <c r="H1336" s="8">
        <v>4.42</v>
      </c>
      <c r="I1336" s="4">
        <v>0</v>
      </c>
    </row>
    <row r="1337" spans="1:9" x14ac:dyDescent="0.15">
      <c r="A1337" s="2">
        <v>11</v>
      </c>
      <c r="B1337" s="1" t="s">
        <v>103</v>
      </c>
      <c r="C1337" s="4">
        <v>28</v>
      </c>
      <c r="D1337" s="8">
        <v>3.41</v>
      </c>
      <c r="E1337" s="4">
        <v>27</v>
      </c>
      <c r="F1337" s="8">
        <v>5.35</v>
      </c>
      <c r="G1337" s="4">
        <v>1</v>
      </c>
      <c r="H1337" s="8">
        <v>0.32</v>
      </c>
      <c r="I1337" s="4">
        <v>0</v>
      </c>
    </row>
    <row r="1338" spans="1:9" x14ac:dyDescent="0.15">
      <c r="A1338" s="2">
        <v>12</v>
      </c>
      <c r="B1338" s="1" t="s">
        <v>102</v>
      </c>
      <c r="C1338" s="4">
        <v>21</v>
      </c>
      <c r="D1338" s="8">
        <v>2.5499999999999998</v>
      </c>
      <c r="E1338" s="4">
        <v>13</v>
      </c>
      <c r="F1338" s="8">
        <v>2.57</v>
      </c>
      <c r="G1338" s="4">
        <v>8</v>
      </c>
      <c r="H1338" s="8">
        <v>2.52</v>
      </c>
      <c r="I1338" s="4">
        <v>0</v>
      </c>
    </row>
    <row r="1339" spans="1:9" x14ac:dyDescent="0.15">
      <c r="A1339" s="2">
        <v>13</v>
      </c>
      <c r="B1339" s="1" t="s">
        <v>95</v>
      </c>
      <c r="C1339" s="4">
        <v>17</v>
      </c>
      <c r="D1339" s="8">
        <v>2.0699999999999998</v>
      </c>
      <c r="E1339" s="4">
        <v>1</v>
      </c>
      <c r="F1339" s="8">
        <v>0.2</v>
      </c>
      <c r="G1339" s="4">
        <v>16</v>
      </c>
      <c r="H1339" s="8">
        <v>5.05</v>
      </c>
      <c r="I1339" s="4">
        <v>0</v>
      </c>
    </row>
    <row r="1340" spans="1:9" x14ac:dyDescent="0.15">
      <c r="A1340" s="2">
        <v>14</v>
      </c>
      <c r="B1340" s="1" t="s">
        <v>98</v>
      </c>
      <c r="C1340" s="4">
        <v>15</v>
      </c>
      <c r="D1340" s="8">
        <v>1.82</v>
      </c>
      <c r="E1340" s="4">
        <v>7</v>
      </c>
      <c r="F1340" s="8">
        <v>1.39</v>
      </c>
      <c r="G1340" s="4">
        <v>8</v>
      </c>
      <c r="H1340" s="8">
        <v>2.52</v>
      </c>
      <c r="I1340" s="4">
        <v>0</v>
      </c>
    </row>
    <row r="1341" spans="1:9" x14ac:dyDescent="0.15">
      <c r="A1341" s="2">
        <v>15</v>
      </c>
      <c r="B1341" s="1" t="s">
        <v>93</v>
      </c>
      <c r="C1341" s="4">
        <v>13</v>
      </c>
      <c r="D1341" s="8">
        <v>1.58</v>
      </c>
      <c r="E1341" s="4">
        <v>6</v>
      </c>
      <c r="F1341" s="8">
        <v>1.19</v>
      </c>
      <c r="G1341" s="4">
        <v>7</v>
      </c>
      <c r="H1341" s="8">
        <v>2.21</v>
      </c>
      <c r="I1341" s="4">
        <v>0</v>
      </c>
    </row>
    <row r="1342" spans="1:9" x14ac:dyDescent="0.15">
      <c r="A1342" s="2">
        <v>16</v>
      </c>
      <c r="B1342" s="1" t="s">
        <v>107</v>
      </c>
      <c r="C1342" s="4">
        <v>12</v>
      </c>
      <c r="D1342" s="8">
        <v>1.46</v>
      </c>
      <c r="E1342" s="4">
        <v>1</v>
      </c>
      <c r="F1342" s="8">
        <v>0.2</v>
      </c>
      <c r="G1342" s="4">
        <v>11</v>
      </c>
      <c r="H1342" s="8">
        <v>3.47</v>
      </c>
      <c r="I1342" s="4">
        <v>0</v>
      </c>
    </row>
    <row r="1343" spans="1:9" x14ac:dyDescent="0.15">
      <c r="A1343" s="2">
        <v>17</v>
      </c>
      <c r="B1343" s="1" t="s">
        <v>121</v>
      </c>
      <c r="C1343" s="4">
        <v>11</v>
      </c>
      <c r="D1343" s="8">
        <v>1.34</v>
      </c>
      <c r="E1343" s="4">
        <v>5</v>
      </c>
      <c r="F1343" s="8">
        <v>0.99</v>
      </c>
      <c r="G1343" s="4">
        <v>6</v>
      </c>
      <c r="H1343" s="8">
        <v>1.89</v>
      </c>
      <c r="I1343" s="4">
        <v>0</v>
      </c>
    </row>
    <row r="1344" spans="1:9" x14ac:dyDescent="0.15">
      <c r="A1344" s="2">
        <v>17</v>
      </c>
      <c r="B1344" s="1" t="s">
        <v>116</v>
      </c>
      <c r="C1344" s="4">
        <v>11</v>
      </c>
      <c r="D1344" s="8">
        <v>1.34</v>
      </c>
      <c r="E1344" s="4">
        <v>8</v>
      </c>
      <c r="F1344" s="8">
        <v>1.58</v>
      </c>
      <c r="G1344" s="4">
        <v>3</v>
      </c>
      <c r="H1344" s="8">
        <v>0.95</v>
      </c>
      <c r="I1344" s="4">
        <v>0</v>
      </c>
    </row>
    <row r="1345" spans="1:9" x14ac:dyDescent="0.15">
      <c r="A1345" s="2">
        <v>19</v>
      </c>
      <c r="B1345" s="1" t="s">
        <v>97</v>
      </c>
      <c r="C1345" s="4">
        <v>10</v>
      </c>
      <c r="D1345" s="8">
        <v>1.22</v>
      </c>
      <c r="E1345" s="4">
        <v>5</v>
      </c>
      <c r="F1345" s="8">
        <v>0.99</v>
      </c>
      <c r="G1345" s="4">
        <v>5</v>
      </c>
      <c r="H1345" s="8">
        <v>1.58</v>
      </c>
      <c r="I1345" s="4">
        <v>0</v>
      </c>
    </row>
    <row r="1346" spans="1:9" x14ac:dyDescent="0.15">
      <c r="A1346" s="2">
        <v>20</v>
      </c>
      <c r="B1346" s="1" t="s">
        <v>126</v>
      </c>
      <c r="C1346" s="4">
        <v>9</v>
      </c>
      <c r="D1346" s="8">
        <v>1.0900000000000001</v>
      </c>
      <c r="E1346" s="4">
        <v>3</v>
      </c>
      <c r="F1346" s="8">
        <v>0.59</v>
      </c>
      <c r="G1346" s="4">
        <v>6</v>
      </c>
      <c r="H1346" s="8">
        <v>1.89</v>
      </c>
      <c r="I1346" s="4">
        <v>0</v>
      </c>
    </row>
    <row r="1347" spans="1:9" x14ac:dyDescent="0.15">
      <c r="A1347" s="2">
        <v>20</v>
      </c>
      <c r="B1347" s="1" t="s">
        <v>101</v>
      </c>
      <c r="C1347" s="4">
        <v>9</v>
      </c>
      <c r="D1347" s="8">
        <v>1.0900000000000001</v>
      </c>
      <c r="E1347" s="4">
        <v>4</v>
      </c>
      <c r="F1347" s="8">
        <v>0.79</v>
      </c>
      <c r="G1347" s="4">
        <v>5</v>
      </c>
      <c r="H1347" s="8">
        <v>1.58</v>
      </c>
      <c r="I1347" s="4">
        <v>0</v>
      </c>
    </row>
    <row r="1348" spans="1:9" x14ac:dyDescent="0.15">
      <c r="A1348" s="1"/>
      <c r="C1348" s="4"/>
      <c r="D1348" s="8"/>
      <c r="E1348" s="4"/>
      <c r="F1348" s="8"/>
      <c r="G1348" s="4"/>
      <c r="H1348" s="8"/>
      <c r="I1348" s="4"/>
    </row>
    <row r="1349" spans="1:9" x14ac:dyDescent="0.15">
      <c r="A1349" s="1" t="s">
        <v>60</v>
      </c>
      <c r="C1349" s="4"/>
      <c r="D1349" s="8"/>
      <c r="E1349" s="4"/>
      <c r="F1349" s="8"/>
      <c r="G1349" s="4"/>
      <c r="H1349" s="8"/>
      <c r="I1349" s="4"/>
    </row>
    <row r="1350" spans="1:9" x14ac:dyDescent="0.15">
      <c r="A1350" s="2">
        <v>1</v>
      </c>
      <c r="B1350" s="1" t="s">
        <v>99</v>
      </c>
      <c r="C1350" s="4">
        <v>106</v>
      </c>
      <c r="D1350" s="8">
        <v>10.88</v>
      </c>
      <c r="E1350" s="4">
        <v>89</v>
      </c>
      <c r="F1350" s="8">
        <v>19.260000000000002</v>
      </c>
      <c r="G1350" s="4">
        <v>17</v>
      </c>
      <c r="H1350" s="8">
        <v>3.32</v>
      </c>
      <c r="I1350" s="4">
        <v>0</v>
      </c>
    </row>
    <row r="1351" spans="1:9" x14ac:dyDescent="0.15">
      <c r="A1351" s="2">
        <v>2</v>
      </c>
      <c r="B1351" s="1" t="s">
        <v>85</v>
      </c>
      <c r="C1351" s="4">
        <v>91</v>
      </c>
      <c r="D1351" s="8">
        <v>9.34</v>
      </c>
      <c r="E1351" s="4">
        <v>30</v>
      </c>
      <c r="F1351" s="8">
        <v>6.49</v>
      </c>
      <c r="G1351" s="4">
        <v>61</v>
      </c>
      <c r="H1351" s="8">
        <v>11.91</v>
      </c>
      <c r="I1351" s="4">
        <v>0</v>
      </c>
    </row>
    <row r="1352" spans="1:9" x14ac:dyDescent="0.15">
      <c r="A1352" s="2">
        <v>3</v>
      </c>
      <c r="B1352" s="1" t="s">
        <v>86</v>
      </c>
      <c r="C1352" s="4">
        <v>74</v>
      </c>
      <c r="D1352" s="8">
        <v>7.6</v>
      </c>
      <c r="E1352" s="4">
        <v>33</v>
      </c>
      <c r="F1352" s="8">
        <v>7.14</v>
      </c>
      <c r="G1352" s="4">
        <v>41</v>
      </c>
      <c r="H1352" s="8">
        <v>8.01</v>
      </c>
      <c r="I1352" s="4">
        <v>0</v>
      </c>
    </row>
    <row r="1353" spans="1:9" x14ac:dyDescent="0.15">
      <c r="A1353" s="2">
        <v>4</v>
      </c>
      <c r="B1353" s="1" t="s">
        <v>100</v>
      </c>
      <c r="C1353" s="4">
        <v>66</v>
      </c>
      <c r="D1353" s="8">
        <v>6.78</v>
      </c>
      <c r="E1353" s="4">
        <v>60</v>
      </c>
      <c r="F1353" s="8">
        <v>12.99</v>
      </c>
      <c r="G1353" s="4">
        <v>6</v>
      </c>
      <c r="H1353" s="8">
        <v>1.17</v>
      </c>
      <c r="I1353" s="4">
        <v>0</v>
      </c>
    </row>
    <row r="1354" spans="1:9" x14ac:dyDescent="0.15">
      <c r="A1354" s="2">
        <v>5</v>
      </c>
      <c r="B1354" s="1" t="s">
        <v>96</v>
      </c>
      <c r="C1354" s="4">
        <v>56</v>
      </c>
      <c r="D1354" s="8">
        <v>5.75</v>
      </c>
      <c r="E1354" s="4">
        <v>25</v>
      </c>
      <c r="F1354" s="8">
        <v>5.41</v>
      </c>
      <c r="G1354" s="4">
        <v>31</v>
      </c>
      <c r="H1354" s="8">
        <v>6.05</v>
      </c>
      <c r="I1354" s="4">
        <v>0</v>
      </c>
    </row>
    <row r="1355" spans="1:9" x14ac:dyDescent="0.15">
      <c r="A1355" s="2">
        <v>6</v>
      </c>
      <c r="B1355" s="1" t="s">
        <v>87</v>
      </c>
      <c r="C1355" s="4">
        <v>51</v>
      </c>
      <c r="D1355" s="8">
        <v>5.24</v>
      </c>
      <c r="E1355" s="4">
        <v>6</v>
      </c>
      <c r="F1355" s="8">
        <v>1.3</v>
      </c>
      <c r="G1355" s="4">
        <v>45</v>
      </c>
      <c r="H1355" s="8">
        <v>8.7899999999999991</v>
      </c>
      <c r="I1355" s="4">
        <v>0</v>
      </c>
    </row>
    <row r="1356" spans="1:9" x14ac:dyDescent="0.15">
      <c r="A1356" s="2">
        <v>7</v>
      </c>
      <c r="B1356" s="1" t="s">
        <v>92</v>
      </c>
      <c r="C1356" s="4">
        <v>46</v>
      </c>
      <c r="D1356" s="8">
        <v>4.72</v>
      </c>
      <c r="E1356" s="4">
        <v>30</v>
      </c>
      <c r="F1356" s="8">
        <v>6.49</v>
      </c>
      <c r="G1356" s="4">
        <v>16</v>
      </c>
      <c r="H1356" s="8">
        <v>3.13</v>
      </c>
      <c r="I1356" s="4">
        <v>0</v>
      </c>
    </row>
    <row r="1357" spans="1:9" x14ac:dyDescent="0.15">
      <c r="A1357" s="2">
        <v>8</v>
      </c>
      <c r="B1357" s="1" t="s">
        <v>94</v>
      </c>
      <c r="C1357" s="4">
        <v>42</v>
      </c>
      <c r="D1357" s="8">
        <v>4.3099999999999996</v>
      </c>
      <c r="E1357" s="4">
        <v>19</v>
      </c>
      <c r="F1357" s="8">
        <v>4.1100000000000003</v>
      </c>
      <c r="G1357" s="4">
        <v>23</v>
      </c>
      <c r="H1357" s="8">
        <v>4.49</v>
      </c>
      <c r="I1357" s="4">
        <v>0</v>
      </c>
    </row>
    <row r="1358" spans="1:9" x14ac:dyDescent="0.15">
      <c r="A1358" s="2">
        <v>9</v>
      </c>
      <c r="B1358" s="1" t="s">
        <v>88</v>
      </c>
      <c r="C1358" s="4">
        <v>34</v>
      </c>
      <c r="D1358" s="8">
        <v>3.49</v>
      </c>
      <c r="E1358" s="4">
        <v>9</v>
      </c>
      <c r="F1358" s="8">
        <v>1.95</v>
      </c>
      <c r="G1358" s="4">
        <v>25</v>
      </c>
      <c r="H1358" s="8">
        <v>4.88</v>
      </c>
      <c r="I1358" s="4">
        <v>0</v>
      </c>
    </row>
    <row r="1359" spans="1:9" x14ac:dyDescent="0.15">
      <c r="A1359" s="2">
        <v>10</v>
      </c>
      <c r="B1359" s="1" t="s">
        <v>133</v>
      </c>
      <c r="C1359" s="4">
        <v>30</v>
      </c>
      <c r="D1359" s="8">
        <v>3.08</v>
      </c>
      <c r="E1359" s="4">
        <v>22</v>
      </c>
      <c r="F1359" s="8">
        <v>4.76</v>
      </c>
      <c r="G1359" s="4">
        <v>8</v>
      </c>
      <c r="H1359" s="8">
        <v>1.56</v>
      </c>
      <c r="I1359" s="4">
        <v>0</v>
      </c>
    </row>
    <row r="1360" spans="1:9" x14ac:dyDescent="0.15">
      <c r="A1360" s="2">
        <v>11</v>
      </c>
      <c r="B1360" s="1" t="s">
        <v>93</v>
      </c>
      <c r="C1360" s="4">
        <v>27</v>
      </c>
      <c r="D1360" s="8">
        <v>2.77</v>
      </c>
      <c r="E1360" s="4">
        <v>13</v>
      </c>
      <c r="F1360" s="8">
        <v>2.81</v>
      </c>
      <c r="G1360" s="4">
        <v>14</v>
      </c>
      <c r="H1360" s="8">
        <v>2.73</v>
      </c>
      <c r="I1360" s="4">
        <v>0</v>
      </c>
    </row>
    <row r="1361" spans="1:9" x14ac:dyDescent="0.15">
      <c r="A1361" s="2">
        <v>11</v>
      </c>
      <c r="B1361" s="1" t="s">
        <v>102</v>
      </c>
      <c r="C1361" s="4">
        <v>27</v>
      </c>
      <c r="D1361" s="8">
        <v>2.77</v>
      </c>
      <c r="E1361" s="4">
        <v>18</v>
      </c>
      <c r="F1361" s="8">
        <v>3.9</v>
      </c>
      <c r="G1361" s="4">
        <v>9</v>
      </c>
      <c r="H1361" s="8">
        <v>1.76</v>
      </c>
      <c r="I1361" s="4">
        <v>0</v>
      </c>
    </row>
    <row r="1362" spans="1:9" x14ac:dyDescent="0.15">
      <c r="A1362" s="2">
        <v>13</v>
      </c>
      <c r="B1362" s="1" t="s">
        <v>89</v>
      </c>
      <c r="C1362" s="4">
        <v>26</v>
      </c>
      <c r="D1362" s="8">
        <v>2.67</v>
      </c>
      <c r="E1362" s="4">
        <v>3</v>
      </c>
      <c r="F1362" s="8">
        <v>0.65</v>
      </c>
      <c r="G1362" s="4">
        <v>23</v>
      </c>
      <c r="H1362" s="8">
        <v>4.49</v>
      </c>
      <c r="I1362" s="4">
        <v>0</v>
      </c>
    </row>
    <row r="1363" spans="1:9" x14ac:dyDescent="0.15">
      <c r="A1363" s="2">
        <v>14</v>
      </c>
      <c r="B1363" s="1" t="s">
        <v>97</v>
      </c>
      <c r="C1363" s="4">
        <v>18</v>
      </c>
      <c r="D1363" s="8">
        <v>1.85</v>
      </c>
      <c r="E1363" s="4">
        <v>13</v>
      </c>
      <c r="F1363" s="8">
        <v>2.81</v>
      </c>
      <c r="G1363" s="4">
        <v>5</v>
      </c>
      <c r="H1363" s="8">
        <v>0.98</v>
      </c>
      <c r="I1363" s="4">
        <v>0</v>
      </c>
    </row>
    <row r="1364" spans="1:9" x14ac:dyDescent="0.15">
      <c r="A1364" s="2">
        <v>14</v>
      </c>
      <c r="B1364" s="1" t="s">
        <v>103</v>
      </c>
      <c r="C1364" s="4">
        <v>18</v>
      </c>
      <c r="D1364" s="8">
        <v>1.85</v>
      </c>
      <c r="E1364" s="4">
        <v>17</v>
      </c>
      <c r="F1364" s="8">
        <v>3.68</v>
      </c>
      <c r="G1364" s="4">
        <v>1</v>
      </c>
      <c r="H1364" s="8">
        <v>0.2</v>
      </c>
      <c r="I1364" s="4">
        <v>0</v>
      </c>
    </row>
    <row r="1365" spans="1:9" x14ac:dyDescent="0.15">
      <c r="A1365" s="2">
        <v>16</v>
      </c>
      <c r="B1365" s="1" t="s">
        <v>98</v>
      </c>
      <c r="C1365" s="4">
        <v>16</v>
      </c>
      <c r="D1365" s="8">
        <v>1.64</v>
      </c>
      <c r="E1365" s="4">
        <v>5</v>
      </c>
      <c r="F1365" s="8">
        <v>1.08</v>
      </c>
      <c r="G1365" s="4">
        <v>11</v>
      </c>
      <c r="H1365" s="8">
        <v>2.15</v>
      </c>
      <c r="I1365" s="4">
        <v>0</v>
      </c>
    </row>
    <row r="1366" spans="1:9" x14ac:dyDescent="0.15">
      <c r="A1366" s="2">
        <v>16</v>
      </c>
      <c r="B1366" s="1" t="s">
        <v>117</v>
      </c>
      <c r="C1366" s="4">
        <v>16</v>
      </c>
      <c r="D1366" s="8">
        <v>1.64</v>
      </c>
      <c r="E1366" s="4">
        <v>8</v>
      </c>
      <c r="F1366" s="8">
        <v>1.73</v>
      </c>
      <c r="G1366" s="4">
        <v>8</v>
      </c>
      <c r="H1366" s="8">
        <v>1.56</v>
      </c>
      <c r="I1366" s="4">
        <v>0</v>
      </c>
    </row>
    <row r="1367" spans="1:9" x14ac:dyDescent="0.15">
      <c r="A1367" s="2">
        <v>18</v>
      </c>
      <c r="B1367" s="1" t="s">
        <v>106</v>
      </c>
      <c r="C1367" s="4">
        <v>13</v>
      </c>
      <c r="D1367" s="8">
        <v>1.33</v>
      </c>
      <c r="E1367" s="4">
        <v>1</v>
      </c>
      <c r="F1367" s="8">
        <v>0.22</v>
      </c>
      <c r="G1367" s="4">
        <v>12</v>
      </c>
      <c r="H1367" s="8">
        <v>2.34</v>
      </c>
      <c r="I1367" s="4">
        <v>0</v>
      </c>
    </row>
    <row r="1368" spans="1:9" x14ac:dyDescent="0.15">
      <c r="A1368" s="2">
        <v>18</v>
      </c>
      <c r="B1368" s="1" t="s">
        <v>104</v>
      </c>
      <c r="C1368" s="4">
        <v>13</v>
      </c>
      <c r="D1368" s="8">
        <v>1.33</v>
      </c>
      <c r="E1368" s="4">
        <v>4</v>
      </c>
      <c r="F1368" s="8">
        <v>0.87</v>
      </c>
      <c r="G1368" s="4">
        <v>9</v>
      </c>
      <c r="H1368" s="8">
        <v>1.76</v>
      </c>
      <c r="I1368" s="4">
        <v>0</v>
      </c>
    </row>
    <row r="1369" spans="1:9" x14ac:dyDescent="0.15">
      <c r="A1369" s="2">
        <v>20</v>
      </c>
      <c r="B1369" s="1" t="s">
        <v>91</v>
      </c>
      <c r="C1369" s="4">
        <v>12</v>
      </c>
      <c r="D1369" s="8">
        <v>1.23</v>
      </c>
      <c r="E1369" s="4">
        <v>9</v>
      </c>
      <c r="F1369" s="8">
        <v>1.95</v>
      </c>
      <c r="G1369" s="4">
        <v>3</v>
      </c>
      <c r="H1369" s="8">
        <v>0.59</v>
      </c>
      <c r="I1369" s="4">
        <v>0</v>
      </c>
    </row>
    <row r="1370" spans="1:9" x14ac:dyDescent="0.15">
      <c r="A1370" s="2">
        <v>20</v>
      </c>
      <c r="B1370" s="1" t="s">
        <v>134</v>
      </c>
      <c r="C1370" s="4">
        <v>12</v>
      </c>
      <c r="D1370" s="8">
        <v>1.23</v>
      </c>
      <c r="E1370" s="4">
        <v>2</v>
      </c>
      <c r="F1370" s="8">
        <v>0.43</v>
      </c>
      <c r="G1370" s="4">
        <v>10</v>
      </c>
      <c r="H1370" s="8">
        <v>1.95</v>
      </c>
      <c r="I1370" s="4">
        <v>0</v>
      </c>
    </row>
    <row r="1371" spans="1:9" x14ac:dyDescent="0.15">
      <c r="A1371" s="1"/>
      <c r="C1371" s="4"/>
      <c r="D1371" s="8"/>
      <c r="E1371" s="4"/>
      <c r="F1371" s="8"/>
      <c r="G1371" s="4"/>
      <c r="H1371" s="8"/>
      <c r="I1371" s="4"/>
    </row>
    <row r="1372" spans="1:9" x14ac:dyDescent="0.15">
      <c r="A1372" s="1" t="s">
        <v>61</v>
      </c>
      <c r="C1372" s="4"/>
      <c r="D1372" s="8"/>
      <c r="E1372" s="4"/>
      <c r="F1372" s="8"/>
      <c r="G1372" s="4"/>
      <c r="H1372" s="8"/>
      <c r="I1372" s="4"/>
    </row>
    <row r="1373" spans="1:9" x14ac:dyDescent="0.15">
      <c r="A1373" s="2">
        <v>1</v>
      </c>
      <c r="B1373" s="1" t="s">
        <v>99</v>
      </c>
      <c r="C1373" s="4">
        <v>11</v>
      </c>
      <c r="D1373" s="8">
        <v>13.1</v>
      </c>
      <c r="E1373" s="4">
        <v>8</v>
      </c>
      <c r="F1373" s="8">
        <v>19.510000000000002</v>
      </c>
      <c r="G1373" s="4">
        <v>3</v>
      </c>
      <c r="H1373" s="8">
        <v>7.14</v>
      </c>
      <c r="I1373" s="4">
        <v>0</v>
      </c>
    </row>
    <row r="1374" spans="1:9" x14ac:dyDescent="0.15">
      <c r="A1374" s="2">
        <v>2</v>
      </c>
      <c r="B1374" s="1" t="s">
        <v>85</v>
      </c>
      <c r="C1374" s="4">
        <v>10</v>
      </c>
      <c r="D1374" s="8">
        <v>11.9</v>
      </c>
      <c r="E1374" s="4">
        <v>2</v>
      </c>
      <c r="F1374" s="8">
        <v>4.88</v>
      </c>
      <c r="G1374" s="4">
        <v>8</v>
      </c>
      <c r="H1374" s="8">
        <v>19.05</v>
      </c>
      <c r="I1374" s="4">
        <v>0</v>
      </c>
    </row>
    <row r="1375" spans="1:9" x14ac:dyDescent="0.15">
      <c r="A1375" s="2">
        <v>2</v>
      </c>
      <c r="B1375" s="1" t="s">
        <v>94</v>
      </c>
      <c r="C1375" s="4">
        <v>10</v>
      </c>
      <c r="D1375" s="8">
        <v>11.9</v>
      </c>
      <c r="E1375" s="4">
        <v>7</v>
      </c>
      <c r="F1375" s="8">
        <v>17.07</v>
      </c>
      <c r="G1375" s="4">
        <v>3</v>
      </c>
      <c r="H1375" s="8">
        <v>7.14</v>
      </c>
      <c r="I1375" s="4">
        <v>0</v>
      </c>
    </row>
    <row r="1376" spans="1:9" x14ac:dyDescent="0.15">
      <c r="A1376" s="2">
        <v>4</v>
      </c>
      <c r="B1376" s="1" t="s">
        <v>100</v>
      </c>
      <c r="C1376" s="4">
        <v>5</v>
      </c>
      <c r="D1376" s="8">
        <v>5.95</v>
      </c>
      <c r="E1376" s="4">
        <v>4</v>
      </c>
      <c r="F1376" s="8">
        <v>9.76</v>
      </c>
      <c r="G1376" s="4">
        <v>1</v>
      </c>
      <c r="H1376" s="8">
        <v>2.38</v>
      </c>
      <c r="I1376" s="4">
        <v>0</v>
      </c>
    </row>
    <row r="1377" spans="1:9" x14ac:dyDescent="0.15">
      <c r="A1377" s="2">
        <v>5</v>
      </c>
      <c r="B1377" s="1" t="s">
        <v>87</v>
      </c>
      <c r="C1377" s="4">
        <v>4</v>
      </c>
      <c r="D1377" s="8">
        <v>4.76</v>
      </c>
      <c r="E1377" s="4">
        <v>1</v>
      </c>
      <c r="F1377" s="8">
        <v>2.44</v>
      </c>
      <c r="G1377" s="4">
        <v>3</v>
      </c>
      <c r="H1377" s="8">
        <v>7.14</v>
      </c>
      <c r="I1377" s="4">
        <v>0</v>
      </c>
    </row>
    <row r="1378" spans="1:9" x14ac:dyDescent="0.15">
      <c r="A1378" s="2">
        <v>5</v>
      </c>
      <c r="B1378" s="1" t="s">
        <v>102</v>
      </c>
      <c r="C1378" s="4">
        <v>4</v>
      </c>
      <c r="D1378" s="8">
        <v>4.76</v>
      </c>
      <c r="E1378" s="4">
        <v>3</v>
      </c>
      <c r="F1378" s="8">
        <v>7.32</v>
      </c>
      <c r="G1378" s="4">
        <v>1</v>
      </c>
      <c r="H1378" s="8">
        <v>2.38</v>
      </c>
      <c r="I1378" s="4">
        <v>0</v>
      </c>
    </row>
    <row r="1379" spans="1:9" x14ac:dyDescent="0.15">
      <c r="A1379" s="2">
        <v>5</v>
      </c>
      <c r="B1379" s="1" t="s">
        <v>103</v>
      </c>
      <c r="C1379" s="4">
        <v>4</v>
      </c>
      <c r="D1379" s="8">
        <v>4.76</v>
      </c>
      <c r="E1379" s="4">
        <v>4</v>
      </c>
      <c r="F1379" s="8">
        <v>9.76</v>
      </c>
      <c r="G1379" s="4">
        <v>0</v>
      </c>
      <c r="H1379" s="8">
        <v>0</v>
      </c>
      <c r="I1379" s="4">
        <v>0</v>
      </c>
    </row>
    <row r="1380" spans="1:9" x14ac:dyDescent="0.15">
      <c r="A1380" s="2">
        <v>8</v>
      </c>
      <c r="B1380" s="1" t="s">
        <v>86</v>
      </c>
      <c r="C1380" s="4">
        <v>3</v>
      </c>
      <c r="D1380" s="8">
        <v>3.57</v>
      </c>
      <c r="E1380" s="4">
        <v>2</v>
      </c>
      <c r="F1380" s="8">
        <v>4.88</v>
      </c>
      <c r="G1380" s="4">
        <v>1</v>
      </c>
      <c r="H1380" s="8">
        <v>2.38</v>
      </c>
      <c r="I1380" s="4">
        <v>0</v>
      </c>
    </row>
    <row r="1381" spans="1:9" x14ac:dyDescent="0.15">
      <c r="A1381" s="2">
        <v>8</v>
      </c>
      <c r="B1381" s="1" t="s">
        <v>88</v>
      </c>
      <c r="C1381" s="4">
        <v>3</v>
      </c>
      <c r="D1381" s="8">
        <v>3.57</v>
      </c>
      <c r="E1381" s="4">
        <v>3</v>
      </c>
      <c r="F1381" s="8">
        <v>7.32</v>
      </c>
      <c r="G1381" s="4">
        <v>0</v>
      </c>
      <c r="H1381" s="8">
        <v>0</v>
      </c>
      <c r="I1381" s="4">
        <v>0</v>
      </c>
    </row>
    <row r="1382" spans="1:9" x14ac:dyDescent="0.15">
      <c r="A1382" s="2">
        <v>8</v>
      </c>
      <c r="B1382" s="1" t="s">
        <v>92</v>
      </c>
      <c r="C1382" s="4">
        <v>3</v>
      </c>
      <c r="D1382" s="8">
        <v>3.57</v>
      </c>
      <c r="E1382" s="4">
        <v>2</v>
      </c>
      <c r="F1382" s="8">
        <v>4.88</v>
      </c>
      <c r="G1382" s="4">
        <v>1</v>
      </c>
      <c r="H1382" s="8">
        <v>2.38</v>
      </c>
      <c r="I1382" s="4">
        <v>0</v>
      </c>
    </row>
    <row r="1383" spans="1:9" x14ac:dyDescent="0.15">
      <c r="A1383" s="2">
        <v>8</v>
      </c>
      <c r="B1383" s="1" t="s">
        <v>96</v>
      </c>
      <c r="C1383" s="4">
        <v>3</v>
      </c>
      <c r="D1383" s="8">
        <v>3.57</v>
      </c>
      <c r="E1383" s="4">
        <v>0</v>
      </c>
      <c r="F1383" s="8">
        <v>0</v>
      </c>
      <c r="G1383" s="4">
        <v>3</v>
      </c>
      <c r="H1383" s="8">
        <v>7.14</v>
      </c>
      <c r="I1383" s="4">
        <v>0</v>
      </c>
    </row>
    <row r="1384" spans="1:9" x14ac:dyDescent="0.15">
      <c r="A1384" s="2">
        <v>12</v>
      </c>
      <c r="B1384" s="1" t="s">
        <v>121</v>
      </c>
      <c r="C1384" s="4">
        <v>2</v>
      </c>
      <c r="D1384" s="8">
        <v>2.38</v>
      </c>
      <c r="E1384" s="4">
        <v>0</v>
      </c>
      <c r="F1384" s="8">
        <v>0</v>
      </c>
      <c r="G1384" s="4">
        <v>2</v>
      </c>
      <c r="H1384" s="8">
        <v>4.76</v>
      </c>
      <c r="I1384" s="4">
        <v>0</v>
      </c>
    </row>
    <row r="1385" spans="1:9" x14ac:dyDescent="0.15">
      <c r="A1385" s="2">
        <v>12</v>
      </c>
      <c r="B1385" s="1" t="s">
        <v>127</v>
      </c>
      <c r="C1385" s="4">
        <v>2</v>
      </c>
      <c r="D1385" s="8">
        <v>2.38</v>
      </c>
      <c r="E1385" s="4">
        <v>0</v>
      </c>
      <c r="F1385" s="8">
        <v>0</v>
      </c>
      <c r="G1385" s="4">
        <v>2</v>
      </c>
      <c r="H1385" s="8">
        <v>4.76</v>
      </c>
      <c r="I1385" s="4">
        <v>0</v>
      </c>
    </row>
    <row r="1386" spans="1:9" x14ac:dyDescent="0.15">
      <c r="A1386" s="2">
        <v>12</v>
      </c>
      <c r="B1386" s="1" t="s">
        <v>91</v>
      </c>
      <c r="C1386" s="4">
        <v>2</v>
      </c>
      <c r="D1386" s="8">
        <v>2.38</v>
      </c>
      <c r="E1386" s="4">
        <v>1</v>
      </c>
      <c r="F1386" s="8">
        <v>2.44</v>
      </c>
      <c r="G1386" s="4">
        <v>1</v>
      </c>
      <c r="H1386" s="8">
        <v>2.38</v>
      </c>
      <c r="I1386" s="4">
        <v>0</v>
      </c>
    </row>
    <row r="1387" spans="1:9" x14ac:dyDescent="0.15">
      <c r="A1387" s="2">
        <v>12</v>
      </c>
      <c r="B1387" s="1" t="s">
        <v>111</v>
      </c>
      <c r="C1387" s="4">
        <v>2</v>
      </c>
      <c r="D1387" s="8">
        <v>2.38</v>
      </c>
      <c r="E1387" s="4">
        <v>2</v>
      </c>
      <c r="F1387" s="8">
        <v>4.88</v>
      </c>
      <c r="G1387" s="4">
        <v>0</v>
      </c>
      <c r="H1387" s="8">
        <v>0</v>
      </c>
      <c r="I1387" s="4">
        <v>0</v>
      </c>
    </row>
    <row r="1388" spans="1:9" x14ac:dyDescent="0.15">
      <c r="A1388" s="2">
        <v>12</v>
      </c>
      <c r="B1388" s="1" t="s">
        <v>116</v>
      </c>
      <c r="C1388" s="4">
        <v>2</v>
      </c>
      <c r="D1388" s="8">
        <v>2.38</v>
      </c>
      <c r="E1388" s="4">
        <v>1</v>
      </c>
      <c r="F1388" s="8">
        <v>2.44</v>
      </c>
      <c r="G1388" s="4">
        <v>1</v>
      </c>
      <c r="H1388" s="8">
        <v>2.38</v>
      </c>
      <c r="I1388" s="4">
        <v>0</v>
      </c>
    </row>
    <row r="1389" spans="1:9" x14ac:dyDescent="0.15">
      <c r="A1389" s="2">
        <v>12</v>
      </c>
      <c r="B1389" s="1" t="s">
        <v>117</v>
      </c>
      <c r="C1389" s="4">
        <v>2</v>
      </c>
      <c r="D1389" s="8">
        <v>2.38</v>
      </c>
      <c r="E1389" s="4">
        <v>1</v>
      </c>
      <c r="F1389" s="8">
        <v>2.44</v>
      </c>
      <c r="G1389" s="4">
        <v>1</v>
      </c>
      <c r="H1389" s="8">
        <v>2.38</v>
      </c>
      <c r="I1389" s="4">
        <v>0</v>
      </c>
    </row>
    <row r="1390" spans="1:9" x14ac:dyDescent="0.15">
      <c r="A1390" s="2">
        <v>18</v>
      </c>
      <c r="B1390" s="1" t="s">
        <v>124</v>
      </c>
      <c r="C1390" s="4">
        <v>1</v>
      </c>
      <c r="D1390" s="8">
        <v>1.19</v>
      </c>
      <c r="E1390" s="4">
        <v>0</v>
      </c>
      <c r="F1390" s="8">
        <v>0</v>
      </c>
      <c r="G1390" s="4">
        <v>1</v>
      </c>
      <c r="H1390" s="8">
        <v>2.38</v>
      </c>
      <c r="I1390" s="4">
        <v>0</v>
      </c>
    </row>
    <row r="1391" spans="1:9" x14ac:dyDescent="0.15">
      <c r="A1391" s="2">
        <v>18</v>
      </c>
      <c r="B1391" s="1" t="s">
        <v>89</v>
      </c>
      <c r="C1391" s="4">
        <v>1</v>
      </c>
      <c r="D1391" s="8">
        <v>1.19</v>
      </c>
      <c r="E1391" s="4">
        <v>0</v>
      </c>
      <c r="F1391" s="8">
        <v>0</v>
      </c>
      <c r="G1391" s="4">
        <v>1</v>
      </c>
      <c r="H1391" s="8">
        <v>2.38</v>
      </c>
      <c r="I1391" s="4">
        <v>0</v>
      </c>
    </row>
    <row r="1392" spans="1:9" x14ac:dyDescent="0.15">
      <c r="A1392" s="2">
        <v>18</v>
      </c>
      <c r="B1392" s="1" t="s">
        <v>120</v>
      </c>
      <c r="C1392" s="4">
        <v>1</v>
      </c>
      <c r="D1392" s="8">
        <v>1.19</v>
      </c>
      <c r="E1392" s="4">
        <v>0</v>
      </c>
      <c r="F1392" s="8">
        <v>0</v>
      </c>
      <c r="G1392" s="4">
        <v>1</v>
      </c>
      <c r="H1392" s="8">
        <v>2.38</v>
      </c>
      <c r="I1392" s="4">
        <v>0</v>
      </c>
    </row>
    <row r="1393" spans="1:9" x14ac:dyDescent="0.15">
      <c r="A1393" s="2">
        <v>18</v>
      </c>
      <c r="B1393" s="1" t="s">
        <v>106</v>
      </c>
      <c r="C1393" s="4">
        <v>1</v>
      </c>
      <c r="D1393" s="8">
        <v>1.19</v>
      </c>
      <c r="E1393" s="4">
        <v>0</v>
      </c>
      <c r="F1393" s="8">
        <v>0</v>
      </c>
      <c r="G1393" s="4">
        <v>1</v>
      </c>
      <c r="H1393" s="8">
        <v>2.38</v>
      </c>
      <c r="I1393" s="4">
        <v>0</v>
      </c>
    </row>
    <row r="1394" spans="1:9" x14ac:dyDescent="0.15">
      <c r="A1394" s="2">
        <v>18</v>
      </c>
      <c r="B1394" s="1" t="s">
        <v>93</v>
      </c>
      <c r="C1394" s="4">
        <v>1</v>
      </c>
      <c r="D1394" s="8">
        <v>1.19</v>
      </c>
      <c r="E1394" s="4">
        <v>0</v>
      </c>
      <c r="F1394" s="8">
        <v>0</v>
      </c>
      <c r="G1394" s="4">
        <v>1</v>
      </c>
      <c r="H1394" s="8">
        <v>2.38</v>
      </c>
      <c r="I1394" s="4">
        <v>0</v>
      </c>
    </row>
    <row r="1395" spans="1:9" x14ac:dyDescent="0.15">
      <c r="A1395" s="2">
        <v>18</v>
      </c>
      <c r="B1395" s="1" t="s">
        <v>115</v>
      </c>
      <c r="C1395" s="4">
        <v>1</v>
      </c>
      <c r="D1395" s="8">
        <v>1.19</v>
      </c>
      <c r="E1395" s="4">
        <v>0</v>
      </c>
      <c r="F1395" s="8">
        <v>0</v>
      </c>
      <c r="G1395" s="4">
        <v>1</v>
      </c>
      <c r="H1395" s="8">
        <v>2.38</v>
      </c>
      <c r="I1395" s="4">
        <v>0</v>
      </c>
    </row>
    <row r="1396" spans="1:9" x14ac:dyDescent="0.15">
      <c r="A1396" s="2">
        <v>18</v>
      </c>
      <c r="B1396" s="1" t="s">
        <v>95</v>
      </c>
      <c r="C1396" s="4">
        <v>1</v>
      </c>
      <c r="D1396" s="8">
        <v>1.19</v>
      </c>
      <c r="E1396" s="4">
        <v>0</v>
      </c>
      <c r="F1396" s="8">
        <v>0</v>
      </c>
      <c r="G1396" s="4">
        <v>1</v>
      </c>
      <c r="H1396" s="8">
        <v>2.38</v>
      </c>
      <c r="I1396" s="4">
        <v>0</v>
      </c>
    </row>
    <row r="1397" spans="1:9" x14ac:dyDescent="0.15">
      <c r="A1397" s="2">
        <v>18</v>
      </c>
      <c r="B1397" s="1" t="s">
        <v>98</v>
      </c>
      <c r="C1397" s="4">
        <v>1</v>
      </c>
      <c r="D1397" s="8">
        <v>1.19</v>
      </c>
      <c r="E1397" s="4">
        <v>0</v>
      </c>
      <c r="F1397" s="8">
        <v>0</v>
      </c>
      <c r="G1397" s="4">
        <v>1</v>
      </c>
      <c r="H1397" s="8">
        <v>2.38</v>
      </c>
      <c r="I1397" s="4">
        <v>0</v>
      </c>
    </row>
    <row r="1398" spans="1:9" x14ac:dyDescent="0.15">
      <c r="A1398" s="2">
        <v>18</v>
      </c>
      <c r="B1398" s="1" t="s">
        <v>108</v>
      </c>
      <c r="C1398" s="4">
        <v>1</v>
      </c>
      <c r="D1398" s="8">
        <v>1.19</v>
      </c>
      <c r="E1398" s="4">
        <v>0</v>
      </c>
      <c r="F1398" s="8">
        <v>0</v>
      </c>
      <c r="G1398" s="4">
        <v>1</v>
      </c>
      <c r="H1398" s="8">
        <v>2.38</v>
      </c>
      <c r="I1398" s="4">
        <v>0</v>
      </c>
    </row>
    <row r="1399" spans="1:9" x14ac:dyDescent="0.15">
      <c r="A1399" s="2">
        <v>18</v>
      </c>
      <c r="B1399" s="1" t="s">
        <v>134</v>
      </c>
      <c r="C1399" s="4">
        <v>1</v>
      </c>
      <c r="D1399" s="8">
        <v>1.19</v>
      </c>
      <c r="E1399" s="4">
        <v>0</v>
      </c>
      <c r="F1399" s="8">
        <v>0</v>
      </c>
      <c r="G1399" s="4">
        <v>1</v>
      </c>
      <c r="H1399" s="8">
        <v>2.38</v>
      </c>
      <c r="I1399" s="4">
        <v>0</v>
      </c>
    </row>
    <row r="1400" spans="1:9" x14ac:dyDescent="0.15">
      <c r="A1400" s="2">
        <v>18</v>
      </c>
      <c r="B1400" s="1" t="s">
        <v>135</v>
      </c>
      <c r="C1400" s="4">
        <v>1</v>
      </c>
      <c r="D1400" s="8">
        <v>1.19</v>
      </c>
      <c r="E1400" s="4">
        <v>0</v>
      </c>
      <c r="F1400" s="8">
        <v>0</v>
      </c>
      <c r="G1400" s="4">
        <v>0</v>
      </c>
      <c r="H1400" s="8">
        <v>0</v>
      </c>
      <c r="I1400" s="4">
        <v>1</v>
      </c>
    </row>
    <row r="1401" spans="1:9" x14ac:dyDescent="0.15">
      <c r="A1401" s="2">
        <v>18</v>
      </c>
      <c r="B1401" s="1" t="s">
        <v>104</v>
      </c>
      <c r="C1401" s="4">
        <v>1</v>
      </c>
      <c r="D1401" s="8">
        <v>1.19</v>
      </c>
      <c r="E1401" s="4">
        <v>0</v>
      </c>
      <c r="F1401" s="8">
        <v>0</v>
      </c>
      <c r="G1401" s="4">
        <v>1</v>
      </c>
      <c r="H1401" s="8">
        <v>2.38</v>
      </c>
      <c r="I1401" s="4">
        <v>0</v>
      </c>
    </row>
    <row r="1402" spans="1:9" x14ac:dyDescent="0.15">
      <c r="A1402" s="1"/>
      <c r="C1402" s="4"/>
      <c r="D1402" s="8"/>
      <c r="E1402" s="4"/>
      <c r="F1402" s="8"/>
      <c r="G1402" s="4"/>
      <c r="H1402" s="8"/>
      <c r="I1402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406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136</v>
      </c>
      <c r="B1" s="3" t="s">
        <v>213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  <c r="I1" s="7" t="s">
        <v>84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148</v>
      </c>
      <c r="C3" s="4">
        <v>11146</v>
      </c>
      <c r="D3" s="8">
        <v>6.91</v>
      </c>
      <c r="E3" s="4">
        <v>8162</v>
      </c>
      <c r="F3" s="8">
        <v>11.15</v>
      </c>
      <c r="G3" s="4">
        <v>2982</v>
      </c>
      <c r="H3" s="8">
        <v>3.39</v>
      </c>
      <c r="I3" s="4">
        <v>2</v>
      </c>
    </row>
    <row r="4" spans="1:9" x14ac:dyDescent="0.15">
      <c r="A4" s="2">
        <v>2</v>
      </c>
      <c r="B4" s="1" t="s">
        <v>155</v>
      </c>
      <c r="C4" s="4">
        <v>7093</v>
      </c>
      <c r="D4" s="8">
        <v>4.4000000000000004</v>
      </c>
      <c r="E4" s="4">
        <v>5760</v>
      </c>
      <c r="F4" s="8">
        <v>7.87</v>
      </c>
      <c r="G4" s="4">
        <v>1332</v>
      </c>
      <c r="H4" s="8">
        <v>1.52</v>
      </c>
      <c r="I4" s="4">
        <v>1</v>
      </c>
    </row>
    <row r="5" spans="1:9" x14ac:dyDescent="0.15">
      <c r="A5" s="2">
        <v>3</v>
      </c>
      <c r="B5" s="1" t="s">
        <v>151</v>
      </c>
      <c r="C5" s="4">
        <v>4964</v>
      </c>
      <c r="D5" s="8">
        <v>3.08</v>
      </c>
      <c r="E5" s="4">
        <v>4406</v>
      </c>
      <c r="F5" s="8">
        <v>6.02</v>
      </c>
      <c r="G5" s="4">
        <v>557</v>
      </c>
      <c r="H5" s="8">
        <v>0.63</v>
      </c>
      <c r="I5" s="4">
        <v>1</v>
      </c>
    </row>
    <row r="6" spans="1:9" x14ac:dyDescent="0.15">
      <c r="A6" s="2">
        <v>4</v>
      </c>
      <c r="B6" s="1" t="s">
        <v>150</v>
      </c>
      <c r="C6" s="4">
        <v>4611</v>
      </c>
      <c r="D6" s="8">
        <v>2.86</v>
      </c>
      <c r="E6" s="4">
        <v>3459</v>
      </c>
      <c r="F6" s="8">
        <v>4.7300000000000004</v>
      </c>
      <c r="G6" s="4">
        <v>1152</v>
      </c>
      <c r="H6" s="8">
        <v>1.31</v>
      </c>
      <c r="I6" s="4">
        <v>0</v>
      </c>
    </row>
    <row r="7" spans="1:9" x14ac:dyDescent="0.15">
      <c r="A7" s="2">
        <v>5</v>
      </c>
      <c r="B7" s="1" t="s">
        <v>156</v>
      </c>
      <c r="C7" s="4">
        <v>4128</v>
      </c>
      <c r="D7" s="8">
        <v>2.56</v>
      </c>
      <c r="E7" s="4">
        <v>3072</v>
      </c>
      <c r="F7" s="8">
        <v>4.2</v>
      </c>
      <c r="G7" s="4">
        <v>1044</v>
      </c>
      <c r="H7" s="8">
        <v>1.19</v>
      </c>
      <c r="I7" s="4">
        <v>12</v>
      </c>
    </row>
    <row r="8" spans="1:9" x14ac:dyDescent="0.15">
      <c r="A8" s="2">
        <v>6</v>
      </c>
      <c r="B8" s="1" t="s">
        <v>157</v>
      </c>
      <c r="C8" s="4">
        <v>4085</v>
      </c>
      <c r="D8" s="8">
        <v>2.5299999999999998</v>
      </c>
      <c r="E8" s="4">
        <v>3394</v>
      </c>
      <c r="F8" s="8">
        <v>4.6399999999999997</v>
      </c>
      <c r="G8" s="4">
        <v>690</v>
      </c>
      <c r="H8" s="8">
        <v>0.79</v>
      </c>
      <c r="I8" s="4">
        <v>1</v>
      </c>
    </row>
    <row r="9" spans="1:9" x14ac:dyDescent="0.15">
      <c r="A9" s="2">
        <v>7</v>
      </c>
      <c r="B9" s="1" t="s">
        <v>154</v>
      </c>
      <c r="C9" s="4">
        <v>4074</v>
      </c>
      <c r="D9" s="8">
        <v>2.5299999999999998</v>
      </c>
      <c r="E9" s="4">
        <v>3664</v>
      </c>
      <c r="F9" s="8">
        <v>5.01</v>
      </c>
      <c r="G9" s="4">
        <v>409</v>
      </c>
      <c r="H9" s="8">
        <v>0.47</v>
      </c>
      <c r="I9" s="4">
        <v>1</v>
      </c>
    </row>
    <row r="10" spans="1:9" x14ac:dyDescent="0.15">
      <c r="A10" s="2">
        <v>8</v>
      </c>
      <c r="B10" s="1" t="s">
        <v>152</v>
      </c>
      <c r="C10" s="4">
        <v>3864</v>
      </c>
      <c r="D10" s="8">
        <v>2.4</v>
      </c>
      <c r="E10" s="4">
        <v>3578</v>
      </c>
      <c r="F10" s="8">
        <v>4.8899999999999997</v>
      </c>
      <c r="G10" s="4">
        <v>285</v>
      </c>
      <c r="H10" s="8">
        <v>0.32</v>
      </c>
      <c r="I10" s="4">
        <v>1</v>
      </c>
    </row>
    <row r="11" spans="1:9" x14ac:dyDescent="0.15">
      <c r="A11" s="2">
        <v>9</v>
      </c>
      <c r="B11" s="1" t="s">
        <v>145</v>
      </c>
      <c r="C11" s="4">
        <v>3738</v>
      </c>
      <c r="D11" s="8">
        <v>2.3199999999999998</v>
      </c>
      <c r="E11" s="4">
        <v>2034</v>
      </c>
      <c r="F11" s="8">
        <v>2.78</v>
      </c>
      <c r="G11" s="4">
        <v>1703</v>
      </c>
      <c r="H11" s="8">
        <v>1.94</v>
      </c>
      <c r="I11" s="4">
        <v>1</v>
      </c>
    </row>
    <row r="12" spans="1:9" x14ac:dyDescent="0.15">
      <c r="A12" s="2">
        <v>10</v>
      </c>
      <c r="B12" s="1" t="s">
        <v>149</v>
      </c>
      <c r="C12" s="4">
        <v>3227</v>
      </c>
      <c r="D12" s="8">
        <v>2</v>
      </c>
      <c r="E12" s="4">
        <v>194</v>
      </c>
      <c r="F12" s="8">
        <v>0.27</v>
      </c>
      <c r="G12" s="4">
        <v>3010</v>
      </c>
      <c r="H12" s="8">
        <v>3.42</v>
      </c>
      <c r="I12" s="4">
        <v>23</v>
      </c>
    </row>
    <row r="13" spans="1:9" x14ac:dyDescent="0.15">
      <c r="A13" s="2">
        <v>11</v>
      </c>
      <c r="B13" s="1" t="s">
        <v>143</v>
      </c>
      <c r="C13" s="4">
        <v>2746</v>
      </c>
      <c r="D13" s="8">
        <v>1.7</v>
      </c>
      <c r="E13" s="4">
        <v>1417</v>
      </c>
      <c r="F13" s="8">
        <v>1.94</v>
      </c>
      <c r="G13" s="4">
        <v>1327</v>
      </c>
      <c r="H13" s="8">
        <v>1.51</v>
      </c>
      <c r="I13" s="4">
        <v>2</v>
      </c>
    </row>
    <row r="14" spans="1:9" x14ac:dyDescent="0.15">
      <c r="A14" s="2">
        <v>12</v>
      </c>
      <c r="B14" s="1" t="s">
        <v>147</v>
      </c>
      <c r="C14" s="4">
        <v>2660</v>
      </c>
      <c r="D14" s="8">
        <v>1.65</v>
      </c>
      <c r="E14" s="4">
        <v>835</v>
      </c>
      <c r="F14" s="8">
        <v>1.1399999999999999</v>
      </c>
      <c r="G14" s="4">
        <v>1821</v>
      </c>
      <c r="H14" s="8">
        <v>2.0699999999999998</v>
      </c>
      <c r="I14" s="4">
        <v>4</v>
      </c>
    </row>
    <row r="15" spans="1:9" x14ac:dyDescent="0.15">
      <c r="A15" s="2">
        <v>13</v>
      </c>
      <c r="B15" s="1" t="s">
        <v>153</v>
      </c>
      <c r="C15" s="4">
        <v>2625</v>
      </c>
      <c r="D15" s="8">
        <v>1.63</v>
      </c>
      <c r="E15" s="4">
        <v>1434</v>
      </c>
      <c r="F15" s="8">
        <v>1.96</v>
      </c>
      <c r="G15" s="4">
        <v>1191</v>
      </c>
      <c r="H15" s="8">
        <v>1.36</v>
      </c>
      <c r="I15" s="4">
        <v>0</v>
      </c>
    </row>
    <row r="16" spans="1:9" x14ac:dyDescent="0.15">
      <c r="A16" s="2">
        <v>14</v>
      </c>
      <c r="B16" s="1" t="s">
        <v>141</v>
      </c>
      <c r="C16" s="4">
        <v>2582</v>
      </c>
      <c r="D16" s="8">
        <v>1.6</v>
      </c>
      <c r="E16" s="4">
        <v>250</v>
      </c>
      <c r="F16" s="8">
        <v>0.34</v>
      </c>
      <c r="G16" s="4">
        <v>2332</v>
      </c>
      <c r="H16" s="8">
        <v>2.65</v>
      </c>
      <c r="I16" s="4">
        <v>0</v>
      </c>
    </row>
    <row r="17" spans="1:9" x14ac:dyDescent="0.15">
      <c r="A17" s="2">
        <v>15</v>
      </c>
      <c r="B17" s="1" t="s">
        <v>146</v>
      </c>
      <c r="C17" s="4">
        <v>2536</v>
      </c>
      <c r="D17" s="8">
        <v>1.57</v>
      </c>
      <c r="E17" s="4">
        <v>236</v>
      </c>
      <c r="F17" s="8">
        <v>0.32</v>
      </c>
      <c r="G17" s="4">
        <v>2300</v>
      </c>
      <c r="H17" s="8">
        <v>2.62</v>
      </c>
      <c r="I17" s="4">
        <v>0</v>
      </c>
    </row>
    <row r="18" spans="1:9" x14ac:dyDescent="0.15">
      <c r="A18" s="2">
        <v>16</v>
      </c>
      <c r="B18" s="1" t="s">
        <v>140</v>
      </c>
      <c r="C18" s="4">
        <v>2385</v>
      </c>
      <c r="D18" s="8">
        <v>1.48</v>
      </c>
      <c r="E18" s="4">
        <v>387</v>
      </c>
      <c r="F18" s="8">
        <v>0.53</v>
      </c>
      <c r="G18" s="4">
        <v>1997</v>
      </c>
      <c r="H18" s="8">
        <v>2.27</v>
      </c>
      <c r="I18" s="4">
        <v>1</v>
      </c>
    </row>
    <row r="19" spans="1:9" x14ac:dyDescent="0.15">
      <c r="A19" s="2">
        <v>17</v>
      </c>
      <c r="B19" s="1" t="s">
        <v>138</v>
      </c>
      <c r="C19" s="4">
        <v>2236</v>
      </c>
      <c r="D19" s="8">
        <v>1.39</v>
      </c>
      <c r="E19" s="4">
        <v>260</v>
      </c>
      <c r="F19" s="8">
        <v>0.36</v>
      </c>
      <c r="G19" s="4">
        <v>1975</v>
      </c>
      <c r="H19" s="8">
        <v>2.25</v>
      </c>
      <c r="I19" s="4">
        <v>1</v>
      </c>
    </row>
    <row r="20" spans="1:9" x14ac:dyDescent="0.15">
      <c r="A20" s="2">
        <v>18</v>
      </c>
      <c r="B20" s="1" t="s">
        <v>139</v>
      </c>
      <c r="C20" s="4">
        <v>2190</v>
      </c>
      <c r="D20" s="8">
        <v>1.36</v>
      </c>
      <c r="E20" s="4">
        <v>263</v>
      </c>
      <c r="F20" s="8">
        <v>0.36</v>
      </c>
      <c r="G20" s="4">
        <v>1926</v>
      </c>
      <c r="H20" s="8">
        <v>2.19</v>
      </c>
      <c r="I20" s="4">
        <v>1</v>
      </c>
    </row>
    <row r="21" spans="1:9" x14ac:dyDescent="0.15">
      <c r="A21" s="2">
        <v>19</v>
      </c>
      <c r="B21" s="1" t="s">
        <v>142</v>
      </c>
      <c r="C21" s="4">
        <v>2060</v>
      </c>
      <c r="D21" s="8">
        <v>1.28</v>
      </c>
      <c r="E21" s="4">
        <v>806</v>
      </c>
      <c r="F21" s="8">
        <v>1.1000000000000001</v>
      </c>
      <c r="G21" s="4">
        <v>1254</v>
      </c>
      <c r="H21" s="8">
        <v>1.43</v>
      </c>
      <c r="I21" s="4">
        <v>0</v>
      </c>
    </row>
    <row r="22" spans="1:9" x14ac:dyDescent="0.15">
      <c r="A22" s="2">
        <v>20</v>
      </c>
      <c r="B22" s="1" t="s">
        <v>144</v>
      </c>
      <c r="C22" s="4">
        <v>2045</v>
      </c>
      <c r="D22" s="8">
        <v>1.27</v>
      </c>
      <c r="E22" s="4">
        <v>653</v>
      </c>
      <c r="F22" s="8">
        <v>0.89</v>
      </c>
      <c r="G22" s="4">
        <v>1392</v>
      </c>
      <c r="H22" s="8">
        <v>1.58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148</v>
      </c>
      <c r="C25" s="4">
        <v>3780</v>
      </c>
      <c r="D25" s="8">
        <v>6.2</v>
      </c>
      <c r="E25" s="4">
        <v>2442</v>
      </c>
      <c r="F25" s="8">
        <v>10.029999999999999</v>
      </c>
      <c r="G25" s="4">
        <v>1338</v>
      </c>
      <c r="H25" s="8">
        <v>3.66</v>
      </c>
      <c r="I25" s="4">
        <v>0</v>
      </c>
    </row>
    <row r="26" spans="1:9" x14ac:dyDescent="0.15">
      <c r="A26" s="2">
        <v>2</v>
      </c>
      <c r="B26" s="1" t="s">
        <v>155</v>
      </c>
      <c r="C26" s="4">
        <v>2509</v>
      </c>
      <c r="D26" s="8">
        <v>4.1100000000000003</v>
      </c>
      <c r="E26" s="4">
        <v>1974</v>
      </c>
      <c r="F26" s="8">
        <v>8.11</v>
      </c>
      <c r="G26" s="4">
        <v>534</v>
      </c>
      <c r="H26" s="8">
        <v>1.46</v>
      </c>
      <c r="I26" s="4">
        <v>1</v>
      </c>
    </row>
    <row r="27" spans="1:9" x14ac:dyDescent="0.15">
      <c r="A27" s="2">
        <v>3</v>
      </c>
      <c r="B27" s="1" t="s">
        <v>150</v>
      </c>
      <c r="C27" s="4">
        <v>1728</v>
      </c>
      <c r="D27" s="8">
        <v>2.83</v>
      </c>
      <c r="E27" s="4">
        <v>1232</v>
      </c>
      <c r="F27" s="8">
        <v>5.0599999999999996</v>
      </c>
      <c r="G27" s="4">
        <v>496</v>
      </c>
      <c r="H27" s="8">
        <v>1.36</v>
      </c>
      <c r="I27" s="4">
        <v>0</v>
      </c>
    </row>
    <row r="28" spans="1:9" x14ac:dyDescent="0.15">
      <c r="A28" s="2">
        <v>4</v>
      </c>
      <c r="B28" s="1" t="s">
        <v>151</v>
      </c>
      <c r="C28" s="4">
        <v>1703</v>
      </c>
      <c r="D28" s="8">
        <v>2.79</v>
      </c>
      <c r="E28" s="4">
        <v>1453</v>
      </c>
      <c r="F28" s="8">
        <v>5.97</v>
      </c>
      <c r="G28" s="4">
        <v>250</v>
      </c>
      <c r="H28" s="8">
        <v>0.68</v>
      </c>
      <c r="I28" s="4">
        <v>0</v>
      </c>
    </row>
    <row r="29" spans="1:9" x14ac:dyDescent="0.15">
      <c r="A29" s="2">
        <v>5</v>
      </c>
      <c r="B29" s="1" t="s">
        <v>157</v>
      </c>
      <c r="C29" s="4">
        <v>1506</v>
      </c>
      <c r="D29" s="8">
        <v>2.4700000000000002</v>
      </c>
      <c r="E29" s="4">
        <v>1215</v>
      </c>
      <c r="F29" s="8">
        <v>4.99</v>
      </c>
      <c r="G29" s="4">
        <v>290</v>
      </c>
      <c r="H29" s="8">
        <v>0.79</v>
      </c>
      <c r="I29" s="4">
        <v>1</v>
      </c>
    </row>
    <row r="30" spans="1:9" x14ac:dyDescent="0.15">
      <c r="A30" s="2">
        <v>6</v>
      </c>
      <c r="B30" s="1" t="s">
        <v>156</v>
      </c>
      <c r="C30" s="4">
        <v>1498</v>
      </c>
      <c r="D30" s="8">
        <v>2.46</v>
      </c>
      <c r="E30" s="4">
        <v>1024</v>
      </c>
      <c r="F30" s="8">
        <v>4.21</v>
      </c>
      <c r="G30" s="4">
        <v>473</v>
      </c>
      <c r="H30" s="8">
        <v>1.29</v>
      </c>
      <c r="I30" s="4">
        <v>1</v>
      </c>
    </row>
    <row r="31" spans="1:9" x14ac:dyDescent="0.15">
      <c r="A31" s="2">
        <v>7</v>
      </c>
      <c r="B31" s="1" t="s">
        <v>154</v>
      </c>
      <c r="C31" s="4">
        <v>1443</v>
      </c>
      <c r="D31" s="8">
        <v>2.37</v>
      </c>
      <c r="E31" s="4">
        <v>1260</v>
      </c>
      <c r="F31" s="8">
        <v>5.18</v>
      </c>
      <c r="G31" s="4">
        <v>183</v>
      </c>
      <c r="H31" s="8">
        <v>0.5</v>
      </c>
      <c r="I31" s="4">
        <v>0</v>
      </c>
    </row>
    <row r="32" spans="1:9" x14ac:dyDescent="0.15">
      <c r="A32" s="2">
        <v>8</v>
      </c>
      <c r="B32" s="1" t="s">
        <v>152</v>
      </c>
      <c r="C32" s="4">
        <v>1430</v>
      </c>
      <c r="D32" s="8">
        <v>2.34</v>
      </c>
      <c r="E32" s="4">
        <v>1282</v>
      </c>
      <c r="F32" s="8">
        <v>5.27</v>
      </c>
      <c r="G32" s="4">
        <v>148</v>
      </c>
      <c r="H32" s="8">
        <v>0.4</v>
      </c>
      <c r="I32" s="4">
        <v>0</v>
      </c>
    </row>
    <row r="33" spans="1:9" x14ac:dyDescent="0.15">
      <c r="A33" s="2">
        <v>9</v>
      </c>
      <c r="B33" s="1" t="s">
        <v>145</v>
      </c>
      <c r="C33" s="4">
        <v>1423</v>
      </c>
      <c r="D33" s="8">
        <v>2.33</v>
      </c>
      <c r="E33" s="4">
        <v>715</v>
      </c>
      <c r="F33" s="8">
        <v>2.94</v>
      </c>
      <c r="G33" s="4">
        <v>707</v>
      </c>
      <c r="H33" s="8">
        <v>1.93</v>
      </c>
      <c r="I33" s="4">
        <v>1</v>
      </c>
    </row>
    <row r="34" spans="1:9" x14ac:dyDescent="0.15">
      <c r="A34" s="2">
        <v>10</v>
      </c>
      <c r="B34" s="1" t="s">
        <v>149</v>
      </c>
      <c r="C34" s="4">
        <v>1339</v>
      </c>
      <c r="D34" s="8">
        <v>2.2000000000000002</v>
      </c>
      <c r="E34" s="4">
        <v>50</v>
      </c>
      <c r="F34" s="8">
        <v>0.21</v>
      </c>
      <c r="G34" s="4">
        <v>1275</v>
      </c>
      <c r="H34" s="8">
        <v>3.49</v>
      </c>
      <c r="I34" s="4">
        <v>14</v>
      </c>
    </row>
    <row r="35" spans="1:9" x14ac:dyDescent="0.15">
      <c r="A35" s="2">
        <v>11</v>
      </c>
      <c r="B35" s="1" t="s">
        <v>146</v>
      </c>
      <c r="C35" s="4">
        <v>1087</v>
      </c>
      <c r="D35" s="8">
        <v>1.78</v>
      </c>
      <c r="E35" s="4">
        <v>88</v>
      </c>
      <c r="F35" s="8">
        <v>0.36</v>
      </c>
      <c r="G35" s="4">
        <v>999</v>
      </c>
      <c r="H35" s="8">
        <v>2.73</v>
      </c>
      <c r="I35" s="4">
        <v>0</v>
      </c>
    </row>
    <row r="36" spans="1:9" x14ac:dyDescent="0.15">
      <c r="A36" s="2">
        <v>12</v>
      </c>
      <c r="B36" s="1" t="s">
        <v>141</v>
      </c>
      <c r="C36" s="4">
        <v>1051</v>
      </c>
      <c r="D36" s="8">
        <v>1.72</v>
      </c>
      <c r="E36" s="4">
        <v>69</v>
      </c>
      <c r="F36" s="8">
        <v>0.28000000000000003</v>
      </c>
      <c r="G36" s="4">
        <v>982</v>
      </c>
      <c r="H36" s="8">
        <v>2.69</v>
      </c>
      <c r="I36" s="4">
        <v>0</v>
      </c>
    </row>
    <row r="37" spans="1:9" x14ac:dyDescent="0.15">
      <c r="A37" s="2">
        <v>13</v>
      </c>
      <c r="B37" s="1" t="s">
        <v>143</v>
      </c>
      <c r="C37" s="4">
        <v>1044</v>
      </c>
      <c r="D37" s="8">
        <v>1.71</v>
      </c>
      <c r="E37" s="4">
        <v>511</v>
      </c>
      <c r="F37" s="8">
        <v>2.1</v>
      </c>
      <c r="G37" s="4">
        <v>533</v>
      </c>
      <c r="H37" s="8">
        <v>1.46</v>
      </c>
      <c r="I37" s="4">
        <v>0</v>
      </c>
    </row>
    <row r="38" spans="1:9" x14ac:dyDescent="0.15">
      <c r="A38" s="2">
        <v>14</v>
      </c>
      <c r="B38" s="1" t="s">
        <v>153</v>
      </c>
      <c r="C38" s="4">
        <v>995</v>
      </c>
      <c r="D38" s="8">
        <v>1.63</v>
      </c>
      <c r="E38" s="4">
        <v>523</v>
      </c>
      <c r="F38" s="8">
        <v>2.15</v>
      </c>
      <c r="G38" s="4">
        <v>472</v>
      </c>
      <c r="H38" s="8">
        <v>1.29</v>
      </c>
      <c r="I38" s="4">
        <v>0</v>
      </c>
    </row>
    <row r="39" spans="1:9" x14ac:dyDescent="0.15">
      <c r="A39" s="2">
        <v>15</v>
      </c>
      <c r="B39" s="1" t="s">
        <v>147</v>
      </c>
      <c r="C39" s="4">
        <v>945</v>
      </c>
      <c r="D39" s="8">
        <v>1.55</v>
      </c>
      <c r="E39" s="4">
        <v>187</v>
      </c>
      <c r="F39" s="8">
        <v>0.77</v>
      </c>
      <c r="G39" s="4">
        <v>756</v>
      </c>
      <c r="H39" s="8">
        <v>2.0699999999999998</v>
      </c>
      <c r="I39" s="4">
        <v>2</v>
      </c>
    </row>
    <row r="40" spans="1:9" x14ac:dyDescent="0.15">
      <c r="A40" s="2">
        <v>16</v>
      </c>
      <c r="B40" s="1" t="s">
        <v>158</v>
      </c>
      <c r="C40" s="4">
        <v>861</v>
      </c>
      <c r="D40" s="8">
        <v>1.41</v>
      </c>
      <c r="E40" s="4">
        <v>100</v>
      </c>
      <c r="F40" s="8">
        <v>0.41</v>
      </c>
      <c r="G40" s="4">
        <v>761</v>
      </c>
      <c r="H40" s="8">
        <v>2.08</v>
      </c>
      <c r="I40" s="4">
        <v>0</v>
      </c>
    </row>
    <row r="41" spans="1:9" x14ac:dyDescent="0.15">
      <c r="A41" s="2">
        <v>17</v>
      </c>
      <c r="B41" s="1" t="s">
        <v>159</v>
      </c>
      <c r="C41" s="4">
        <v>851</v>
      </c>
      <c r="D41" s="8">
        <v>1.4</v>
      </c>
      <c r="E41" s="4">
        <v>184</v>
      </c>
      <c r="F41" s="8">
        <v>0.76</v>
      </c>
      <c r="G41" s="4">
        <v>667</v>
      </c>
      <c r="H41" s="8">
        <v>1.82</v>
      </c>
      <c r="I41" s="4">
        <v>0</v>
      </c>
    </row>
    <row r="42" spans="1:9" x14ac:dyDescent="0.15">
      <c r="A42" s="2">
        <v>18</v>
      </c>
      <c r="B42" s="1" t="s">
        <v>142</v>
      </c>
      <c r="C42" s="4">
        <v>837</v>
      </c>
      <c r="D42" s="8">
        <v>1.37</v>
      </c>
      <c r="E42" s="4">
        <v>271</v>
      </c>
      <c r="F42" s="8">
        <v>1.1100000000000001</v>
      </c>
      <c r="G42" s="4">
        <v>566</v>
      </c>
      <c r="H42" s="8">
        <v>1.55</v>
      </c>
      <c r="I42" s="4">
        <v>0</v>
      </c>
    </row>
    <row r="43" spans="1:9" x14ac:dyDescent="0.15">
      <c r="A43" s="2">
        <v>19</v>
      </c>
      <c r="B43" s="1" t="s">
        <v>140</v>
      </c>
      <c r="C43" s="4">
        <v>835</v>
      </c>
      <c r="D43" s="8">
        <v>1.37</v>
      </c>
      <c r="E43" s="4">
        <v>113</v>
      </c>
      <c r="F43" s="8">
        <v>0.46</v>
      </c>
      <c r="G43" s="4">
        <v>722</v>
      </c>
      <c r="H43" s="8">
        <v>1.98</v>
      </c>
      <c r="I43" s="4">
        <v>0</v>
      </c>
    </row>
    <row r="44" spans="1:9" x14ac:dyDescent="0.15">
      <c r="A44" s="2">
        <v>20</v>
      </c>
      <c r="B44" s="1" t="s">
        <v>139</v>
      </c>
      <c r="C44" s="4">
        <v>801</v>
      </c>
      <c r="D44" s="8">
        <v>1.31</v>
      </c>
      <c r="E44" s="4">
        <v>76</v>
      </c>
      <c r="F44" s="8">
        <v>0.31</v>
      </c>
      <c r="G44" s="4">
        <v>724</v>
      </c>
      <c r="H44" s="8">
        <v>1.98</v>
      </c>
      <c r="I44" s="4">
        <v>1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148</v>
      </c>
      <c r="C47" s="4">
        <v>239</v>
      </c>
      <c r="D47" s="8">
        <v>4.7699999999999996</v>
      </c>
      <c r="E47" s="4">
        <v>134</v>
      </c>
      <c r="F47" s="8">
        <v>6.33</v>
      </c>
      <c r="G47" s="4">
        <v>105</v>
      </c>
      <c r="H47" s="8">
        <v>3.63</v>
      </c>
      <c r="I47" s="4">
        <v>0</v>
      </c>
    </row>
    <row r="48" spans="1:9" x14ac:dyDescent="0.15">
      <c r="A48" s="2">
        <v>2</v>
      </c>
      <c r="B48" s="1" t="s">
        <v>151</v>
      </c>
      <c r="C48" s="4">
        <v>208</v>
      </c>
      <c r="D48" s="8">
        <v>4.1500000000000004</v>
      </c>
      <c r="E48" s="4">
        <v>190</v>
      </c>
      <c r="F48" s="8">
        <v>8.9700000000000006</v>
      </c>
      <c r="G48" s="4">
        <v>18</v>
      </c>
      <c r="H48" s="8">
        <v>0.62</v>
      </c>
      <c r="I48" s="4">
        <v>0</v>
      </c>
    </row>
    <row r="49" spans="1:9" x14ac:dyDescent="0.15">
      <c r="A49" s="2">
        <v>3</v>
      </c>
      <c r="B49" s="1" t="s">
        <v>155</v>
      </c>
      <c r="C49" s="4">
        <v>177</v>
      </c>
      <c r="D49" s="8">
        <v>3.53</v>
      </c>
      <c r="E49" s="4">
        <v>148</v>
      </c>
      <c r="F49" s="8">
        <v>6.99</v>
      </c>
      <c r="G49" s="4">
        <v>29</v>
      </c>
      <c r="H49" s="8">
        <v>1</v>
      </c>
      <c r="I49" s="4">
        <v>0</v>
      </c>
    </row>
    <row r="50" spans="1:9" x14ac:dyDescent="0.15">
      <c r="A50" s="2">
        <v>4</v>
      </c>
      <c r="B50" s="1" t="s">
        <v>150</v>
      </c>
      <c r="C50" s="4">
        <v>151</v>
      </c>
      <c r="D50" s="8">
        <v>3.01</v>
      </c>
      <c r="E50" s="4">
        <v>112</v>
      </c>
      <c r="F50" s="8">
        <v>5.29</v>
      </c>
      <c r="G50" s="4">
        <v>39</v>
      </c>
      <c r="H50" s="8">
        <v>1.35</v>
      </c>
      <c r="I50" s="4">
        <v>0</v>
      </c>
    </row>
    <row r="51" spans="1:9" x14ac:dyDescent="0.15">
      <c r="A51" s="2">
        <v>5</v>
      </c>
      <c r="B51" s="1" t="s">
        <v>154</v>
      </c>
      <c r="C51" s="4">
        <v>143</v>
      </c>
      <c r="D51" s="8">
        <v>2.85</v>
      </c>
      <c r="E51" s="4">
        <v>128</v>
      </c>
      <c r="F51" s="8">
        <v>6.05</v>
      </c>
      <c r="G51" s="4">
        <v>15</v>
      </c>
      <c r="H51" s="8">
        <v>0.52</v>
      </c>
      <c r="I51" s="4">
        <v>0</v>
      </c>
    </row>
    <row r="52" spans="1:9" x14ac:dyDescent="0.15">
      <c r="A52" s="2">
        <v>6</v>
      </c>
      <c r="B52" s="1" t="s">
        <v>152</v>
      </c>
      <c r="C52" s="4">
        <v>133</v>
      </c>
      <c r="D52" s="8">
        <v>2.65</v>
      </c>
      <c r="E52" s="4">
        <v>129</v>
      </c>
      <c r="F52" s="8">
        <v>6.09</v>
      </c>
      <c r="G52" s="4">
        <v>4</v>
      </c>
      <c r="H52" s="8">
        <v>0.14000000000000001</v>
      </c>
      <c r="I52" s="4">
        <v>0</v>
      </c>
    </row>
    <row r="53" spans="1:9" x14ac:dyDescent="0.15">
      <c r="A53" s="2">
        <v>7</v>
      </c>
      <c r="B53" s="1" t="s">
        <v>145</v>
      </c>
      <c r="C53" s="4">
        <v>126</v>
      </c>
      <c r="D53" s="8">
        <v>2.5099999999999998</v>
      </c>
      <c r="E53" s="4">
        <v>84</v>
      </c>
      <c r="F53" s="8">
        <v>3.97</v>
      </c>
      <c r="G53" s="4">
        <v>42</v>
      </c>
      <c r="H53" s="8">
        <v>1.45</v>
      </c>
      <c r="I53" s="4">
        <v>0</v>
      </c>
    </row>
    <row r="54" spans="1:9" x14ac:dyDescent="0.15">
      <c r="A54" s="2">
        <v>8</v>
      </c>
      <c r="B54" s="1" t="s">
        <v>141</v>
      </c>
      <c r="C54" s="4">
        <v>115</v>
      </c>
      <c r="D54" s="8">
        <v>2.29</v>
      </c>
      <c r="E54" s="4">
        <v>4</v>
      </c>
      <c r="F54" s="8">
        <v>0.19</v>
      </c>
      <c r="G54" s="4">
        <v>111</v>
      </c>
      <c r="H54" s="8">
        <v>3.84</v>
      </c>
      <c r="I54" s="4">
        <v>0</v>
      </c>
    </row>
    <row r="55" spans="1:9" x14ac:dyDescent="0.15">
      <c r="A55" s="2">
        <v>9</v>
      </c>
      <c r="B55" s="1" t="s">
        <v>156</v>
      </c>
      <c r="C55" s="4">
        <v>112</v>
      </c>
      <c r="D55" s="8">
        <v>2.23</v>
      </c>
      <c r="E55" s="4">
        <v>86</v>
      </c>
      <c r="F55" s="8">
        <v>4.0599999999999996</v>
      </c>
      <c r="G55" s="4">
        <v>26</v>
      </c>
      <c r="H55" s="8">
        <v>0.9</v>
      </c>
      <c r="I55" s="4">
        <v>0</v>
      </c>
    </row>
    <row r="56" spans="1:9" x14ac:dyDescent="0.15">
      <c r="A56" s="2">
        <v>10</v>
      </c>
      <c r="B56" s="1" t="s">
        <v>143</v>
      </c>
      <c r="C56" s="4">
        <v>104</v>
      </c>
      <c r="D56" s="8">
        <v>2.0699999999999998</v>
      </c>
      <c r="E56" s="4">
        <v>67</v>
      </c>
      <c r="F56" s="8">
        <v>3.16</v>
      </c>
      <c r="G56" s="4">
        <v>37</v>
      </c>
      <c r="H56" s="8">
        <v>1.28</v>
      </c>
      <c r="I56" s="4">
        <v>0</v>
      </c>
    </row>
    <row r="57" spans="1:9" x14ac:dyDescent="0.15">
      <c r="A57" s="2">
        <v>11</v>
      </c>
      <c r="B57" s="1" t="s">
        <v>157</v>
      </c>
      <c r="C57" s="4">
        <v>99</v>
      </c>
      <c r="D57" s="8">
        <v>1.97</v>
      </c>
      <c r="E57" s="4">
        <v>81</v>
      </c>
      <c r="F57" s="8">
        <v>3.83</v>
      </c>
      <c r="G57" s="4">
        <v>18</v>
      </c>
      <c r="H57" s="8">
        <v>0.62</v>
      </c>
      <c r="I57" s="4">
        <v>0</v>
      </c>
    </row>
    <row r="58" spans="1:9" x14ac:dyDescent="0.15">
      <c r="A58" s="2">
        <v>12</v>
      </c>
      <c r="B58" s="1" t="s">
        <v>140</v>
      </c>
      <c r="C58" s="4">
        <v>97</v>
      </c>
      <c r="D58" s="8">
        <v>1.93</v>
      </c>
      <c r="E58" s="4">
        <v>11</v>
      </c>
      <c r="F58" s="8">
        <v>0.52</v>
      </c>
      <c r="G58" s="4">
        <v>86</v>
      </c>
      <c r="H58" s="8">
        <v>2.98</v>
      </c>
      <c r="I58" s="4">
        <v>0</v>
      </c>
    </row>
    <row r="59" spans="1:9" x14ac:dyDescent="0.15">
      <c r="A59" s="2">
        <v>13</v>
      </c>
      <c r="B59" s="1" t="s">
        <v>153</v>
      </c>
      <c r="C59" s="4">
        <v>88</v>
      </c>
      <c r="D59" s="8">
        <v>1.75</v>
      </c>
      <c r="E59" s="4">
        <v>55</v>
      </c>
      <c r="F59" s="8">
        <v>2.6</v>
      </c>
      <c r="G59" s="4">
        <v>33</v>
      </c>
      <c r="H59" s="8">
        <v>1.1399999999999999</v>
      </c>
      <c r="I59" s="4">
        <v>0</v>
      </c>
    </row>
    <row r="60" spans="1:9" x14ac:dyDescent="0.15">
      <c r="A60" s="2">
        <v>14</v>
      </c>
      <c r="B60" s="1" t="s">
        <v>149</v>
      </c>
      <c r="C60" s="4">
        <v>86</v>
      </c>
      <c r="D60" s="8">
        <v>1.71</v>
      </c>
      <c r="E60" s="4">
        <v>2</v>
      </c>
      <c r="F60" s="8">
        <v>0.09</v>
      </c>
      <c r="G60" s="4">
        <v>83</v>
      </c>
      <c r="H60" s="8">
        <v>2.87</v>
      </c>
      <c r="I60" s="4">
        <v>1</v>
      </c>
    </row>
    <row r="61" spans="1:9" x14ac:dyDescent="0.15">
      <c r="A61" s="2">
        <v>15</v>
      </c>
      <c r="B61" s="1" t="s">
        <v>146</v>
      </c>
      <c r="C61" s="4">
        <v>69</v>
      </c>
      <c r="D61" s="8">
        <v>1.38</v>
      </c>
      <c r="E61" s="4">
        <v>6</v>
      </c>
      <c r="F61" s="8">
        <v>0.28000000000000003</v>
      </c>
      <c r="G61" s="4">
        <v>63</v>
      </c>
      <c r="H61" s="8">
        <v>2.1800000000000002</v>
      </c>
      <c r="I61" s="4">
        <v>0</v>
      </c>
    </row>
    <row r="62" spans="1:9" x14ac:dyDescent="0.15">
      <c r="A62" s="2">
        <v>16</v>
      </c>
      <c r="B62" s="1" t="s">
        <v>139</v>
      </c>
      <c r="C62" s="4">
        <v>66</v>
      </c>
      <c r="D62" s="8">
        <v>1.32</v>
      </c>
      <c r="E62" s="4">
        <v>7</v>
      </c>
      <c r="F62" s="8">
        <v>0.33</v>
      </c>
      <c r="G62" s="4">
        <v>59</v>
      </c>
      <c r="H62" s="8">
        <v>2.04</v>
      </c>
      <c r="I62" s="4">
        <v>0</v>
      </c>
    </row>
    <row r="63" spans="1:9" x14ac:dyDescent="0.15">
      <c r="A63" s="2">
        <v>17</v>
      </c>
      <c r="B63" s="1" t="s">
        <v>161</v>
      </c>
      <c r="C63" s="4">
        <v>62</v>
      </c>
      <c r="D63" s="8">
        <v>1.24</v>
      </c>
      <c r="E63" s="4">
        <v>17</v>
      </c>
      <c r="F63" s="8">
        <v>0.8</v>
      </c>
      <c r="G63" s="4">
        <v>45</v>
      </c>
      <c r="H63" s="8">
        <v>1.56</v>
      </c>
      <c r="I63" s="4">
        <v>0</v>
      </c>
    </row>
    <row r="64" spans="1:9" x14ac:dyDescent="0.15">
      <c r="A64" s="2">
        <v>18</v>
      </c>
      <c r="B64" s="1" t="s">
        <v>138</v>
      </c>
      <c r="C64" s="4">
        <v>59</v>
      </c>
      <c r="D64" s="8">
        <v>1.18</v>
      </c>
      <c r="E64" s="4">
        <v>5</v>
      </c>
      <c r="F64" s="8">
        <v>0.24</v>
      </c>
      <c r="G64" s="4">
        <v>54</v>
      </c>
      <c r="H64" s="8">
        <v>1.87</v>
      </c>
      <c r="I64" s="4">
        <v>0</v>
      </c>
    </row>
    <row r="65" spans="1:9" x14ac:dyDescent="0.15">
      <c r="A65" s="2">
        <v>19</v>
      </c>
      <c r="B65" s="1" t="s">
        <v>160</v>
      </c>
      <c r="C65" s="4">
        <v>54</v>
      </c>
      <c r="D65" s="8">
        <v>1.08</v>
      </c>
      <c r="E65" s="4">
        <v>14</v>
      </c>
      <c r="F65" s="8">
        <v>0.66</v>
      </c>
      <c r="G65" s="4">
        <v>40</v>
      </c>
      <c r="H65" s="8">
        <v>1.38</v>
      </c>
      <c r="I65" s="4">
        <v>0</v>
      </c>
    </row>
    <row r="66" spans="1:9" x14ac:dyDescent="0.15">
      <c r="A66" s="2">
        <v>20</v>
      </c>
      <c r="B66" s="1" t="s">
        <v>147</v>
      </c>
      <c r="C66" s="4">
        <v>53</v>
      </c>
      <c r="D66" s="8">
        <v>1.06</v>
      </c>
      <c r="E66" s="4">
        <v>8</v>
      </c>
      <c r="F66" s="8">
        <v>0.38</v>
      </c>
      <c r="G66" s="4">
        <v>45</v>
      </c>
      <c r="H66" s="8">
        <v>1.56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148</v>
      </c>
      <c r="C69" s="4">
        <v>455</v>
      </c>
      <c r="D69" s="8">
        <v>10.029999999999999</v>
      </c>
      <c r="E69" s="4">
        <v>361</v>
      </c>
      <c r="F69" s="8">
        <v>17.96</v>
      </c>
      <c r="G69" s="4">
        <v>94</v>
      </c>
      <c r="H69" s="8">
        <v>3.74</v>
      </c>
      <c r="I69" s="4">
        <v>0</v>
      </c>
    </row>
    <row r="70" spans="1:9" x14ac:dyDescent="0.15">
      <c r="A70" s="2">
        <v>2</v>
      </c>
      <c r="B70" s="1" t="s">
        <v>155</v>
      </c>
      <c r="C70" s="4">
        <v>177</v>
      </c>
      <c r="D70" s="8">
        <v>3.9</v>
      </c>
      <c r="E70" s="4">
        <v>139</v>
      </c>
      <c r="F70" s="8">
        <v>6.92</v>
      </c>
      <c r="G70" s="4">
        <v>38</v>
      </c>
      <c r="H70" s="8">
        <v>1.51</v>
      </c>
      <c r="I70" s="4">
        <v>0</v>
      </c>
    </row>
    <row r="71" spans="1:9" x14ac:dyDescent="0.15">
      <c r="A71" s="2">
        <v>3</v>
      </c>
      <c r="B71" s="1" t="s">
        <v>150</v>
      </c>
      <c r="C71" s="4">
        <v>155</v>
      </c>
      <c r="D71" s="8">
        <v>3.42</v>
      </c>
      <c r="E71" s="4">
        <v>120</v>
      </c>
      <c r="F71" s="8">
        <v>5.97</v>
      </c>
      <c r="G71" s="4">
        <v>35</v>
      </c>
      <c r="H71" s="8">
        <v>1.39</v>
      </c>
      <c r="I71" s="4">
        <v>0</v>
      </c>
    </row>
    <row r="72" spans="1:9" x14ac:dyDescent="0.15">
      <c r="A72" s="2">
        <v>4</v>
      </c>
      <c r="B72" s="1" t="s">
        <v>151</v>
      </c>
      <c r="C72" s="4">
        <v>134</v>
      </c>
      <c r="D72" s="8">
        <v>2.95</v>
      </c>
      <c r="E72" s="4">
        <v>118</v>
      </c>
      <c r="F72" s="8">
        <v>5.87</v>
      </c>
      <c r="G72" s="4">
        <v>16</v>
      </c>
      <c r="H72" s="8">
        <v>0.64</v>
      </c>
      <c r="I72" s="4">
        <v>0</v>
      </c>
    </row>
    <row r="73" spans="1:9" x14ac:dyDescent="0.15">
      <c r="A73" s="2">
        <v>5</v>
      </c>
      <c r="B73" s="1" t="s">
        <v>145</v>
      </c>
      <c r="C73" s="4">
        <v>111</v>
      </c>
      <c r="D73" s="8">
        <v>2.4500000000000002</v>
      </c>
      <c r="E73" s="4">
        <v>63</v>
      </c>
      <c r="F73" s="8">
        <v>3.13</v>
      </c>
      <c r="G73" s="4">
        <v>48</v>
      </c>
      <c r="H73" s="8">
        <v>1.91</v>
      </c>
      <c r="I73" s="4">
        <v>0</v>
      </c>
    </row>
    <row r="74" spans="1:9" x14ac:dyDescent="0.15">
      <c r="A74" s="2">
        <v>6</v>
      </c>
      <c r="B74" s="1" t="s">
        <v>146</v>
      </c>
      <c r="C74" s="4">
        <v>108</v>
      </c>
      <c r="D74" s="8">
        <v>2.38</v>
      </c>
      <c r="E74" s="4">
        <v>14</v>
      </c>
      <c r="F74" s="8">
        <v>0.7</v>
      </c>
      <c r="G74" s="4">
        <v>94</v>
      </c>
      <c r="H74" s="8">
        <v>3.74</v>
      </c>
      <c r="I74" s="4">
        <v>0</v>
      </c>
    </row>
    <row r="75" spans="1:9" x14ac:dyDescent="0.15">
      <c r="A75" s="2">
        <v>7</v>
      </c>
      <c r="B75" s="1" t="s">
        <v>156</v>
      </c>
      <c r="C75" s="4">
        <v>104</v>
      </c>
      <c r="D75" s="8">
        <v>2.29</v>
      </c>
      <c r="E75" s="4">
        <v>64</v>
      </c>
      <c r="F75" s="8">
        <v>3.18</v>
      </c>
      <c r="G75" s="4">
        <v>40</v>
      </c>
      <c r="H75" s="8">
        <v>1.59</v>
      </c>
      <c r="I75" s="4">
        <v>0</v>
      </c>
    </row>
    <row r="76" spans="1:9" x14ac:dyDescent="0.15">
      <c r="A76" s="2">
        <v>8</v>
      </c>
      <c r="B76" s="1" t="s">
        <v>154</v>
      </c>
      <c r="C76" s="4">
        <v>100</v>
      </c>
      <c r="D76" s="8">
        <v>2.2000000000000002</v>
      </c>
      <c r="E76" s="4">
        <v>88</v>
      </c>
      <c r="F76" s="8">
        <v>4.38</v>
      </c>
      <c r="G76" s="4">
        <v>12</v>
      </c>
      <c r="H76" s="8">
        <v>0.48</v>
      </c>
      <c r="I76" s="4">
        <v>0</v>
      </c>
    </row>
    <row r="77" spans="1:9" x14ac:dyDescent="0.15">
      <c r="A77" s="2">
        <v>9</v>
      </c>
      <c r="B77" s="1" t="s">
        <v>157</v>
      </c>
      <c r="C77" s="4">
        <v>97</v>
      </c>
      <c r="D77" s="8">
        <v>2.14</v>
      </c>
      <c r="E77" s="4">
        <v>77</v>
      </c>
      <c r="F77" s="8">
        <v>3.83</v>
      </c>
      <c r="G77" s="4">
        <v>20</v>
      </c>
      <c r="H77" s="8">
        <v>0.79</v>
      </c>
      <c r="I77" s="4">
        <v>0</v>
      </c>
    </row>
    <row r="78" spans="1:9" x14ac:dyDescent="0.15">
      <c r="A78" s="2">
        <v>10</v>
      </c>
      <c r="B78" s="1" t="s">
        <v>152</v>
      </c>
      <c r="C78" s="4">
        <v>96</v>
      </c>
      <c r="D78" s="8">
        <v>2.12</v>
      </c>
      <c r="E78" s="4">
        <v>84</v>
      </c>
      <c r="F78" s="8">
        <v>4.18</v>
      </c>
      <c r="G78" s="4">
        <v>12</v>
      </c>
      <c r="H78" s="8">
        <v>0.48</v>
      </c>
      <c r="I78" s="4">
        <v>0</v>
      </c>
    </row>
    <row r="79" spans="1:9" x14ac:dyDescent="0.15">
      <c r="A79" s="2">
        <v>11</v>
      </c>
      <c r="B79" s="1" t="s">
        <v>141</v>
      </c>
      <c r="C79" s="4">
        <v>87</v>
      </c>
      <c r="D79" s="8">
        <v>1.92</v>
      </c>
      <c r="E79" s="4">
        <v>4</v>
      </c>
      <c r="F79" s="8">
        <v>0.2</v>
      </c>
      <c r="G79" s="4">
        <v>83</v>
      </c>
      <c r="H79" s="8">
        <v>3.3</v>
      </c>
      <c r="I79" s="4">
        <v>0</v>
      </c>
    </row>
    <row r="80" spans="1:9" x14ac:dyDescent="0.15">
      <c r="A80" s="2">
        <v>12</v>
      </c>
      <c r="B80" s="1" t="s">
        <v>159</v>
      </c>
      <c r="C80" s="4">
        <v>78</v>
      </c>
      <c r="D80" s="8">
        <v>1.72</v>
      </c>
      <c r="E80" s="4">
        <v>13</v>
      </c>
      <c r="F80" s="8">
        <v>0.65</v>
      </c>
      <c r="G80" s="4">
        <v>65</v>
      </c>
      <c r="H80" s="8">
        <v>2.58</v>
      </c>
      <c r="I80" s="4">
        <v>0</v>
      </c>
    </row>
    <row r="81" spans="1:9" x14ac:dyDescent="0.15">
      <c r="A81" s="2">
        <v>13</v>
      </c>
      <c r="B81" s="1" t="s">
        <v>149</v>
      </c>
      <c r="C81" s="4">
        <v>77</v>
      </c>
      <c r="D81" s="8">
        <v>1.7</v>
      </c>
      <c r="E81" s="4">
        <v>7</v>
      </c>
      <c r="F81" s="8">
        <v>0.35</v>
      </c>
      <c r="G81" s="4">
        <v>69</v>
      </c>
      <c r="H81" s="8">
        <v>2.74</v>
      </c>
      <c r="I81" s="4">
        <v>1</v>
      </c>
    </row>
    <row r="82" spans="1:9" x14ac:dyDescent="0.15">
      <c r="A82" s="2">
        <v>14</v>
      </c>
      <c r="B82" s="1" t="s">
        <v>143</v>
      </c>
      <c r="C82" s="4">
        <v>72</v>
      </c>
      <c r="D82" s="8">
        <v>1.59</v>
      </c>
      <c r="E82" s="4">
        <v>39</v>
      </c>
      <c r="F82" s="8">
        <v>1.94</v>
      </c>
      <c r="G82" s="4">
        <v>33</v>
      </c>
      <c r="H82" s="8">
        <v>1.31</v>
      </c>
      <c r="I82" s="4">
        <v>0</v>
      </c>
    </row>
    <row r="83" spans="1:9" x14ac:dyDescent="0.15">
      <c r="A83" s="2">
        <v>15</v>
      </c>
      <c r="B83" s="1" t="s">
        <v>147</v>
      </c>
      <c r="C83" s="4">
        <v>67</v>
      </c>
      <c r="D83" s="8">
        <v>1.48</v>
      </c>
      <c r="E83" s="4">
        <v>18</v>
      </c>
      <c r="F83" s="8">
        <v>0.9</v>
      </c>
      <c r="G83" s="4">
        <v>49</v>
      </c>
      <c r="H83" s="8">
        <v>1.95</v>
      </c>
      <c r="I83" s="4">
        <v>0</v>
      </c>
    </row>
    <row r="84" spans="1:9" x14ac:dyDescent="0.15">
      <c r="A84" s="2">
        <v>15</v>
      </c>
      <c r="B84" s="1" t="s">
        <v>163</v>
      </c>
      <c r="C84" s="4">
        <v>67</v>
      </c>
      <c r="D84" s="8">
        <v>1.48</v>
      </c>
      <c r="E84" s="4">
        <v>62</v>
      </c>
      <c r="F84" s="8">
        <v>3.08</v>
      </c>
      <c r="G84" s="4">
        <v>5</v>
      </c>
      <c r="H84" s="8">
        <v>0.2</v>
      </c>
      <c r="I84" s="4">
        <v>0</v>
      </c>
    </row>
    <row r="85" spans="1:9" x14ac:dyDescent="0.15">
      <c r="A85" s="2">
        <v>17</v>
      </c>
      <c r="B85" s="1" t="s">
        <v>140</v>
      </c>
      <c r="C85" s="4">
        <v>63</v>
      </c>
      <c r="D85" s="8">
        <v>1.39</v>
      </c>
      <c r="E85" s="4">
        <v>8</v>
      </c>
      <c r="F85" s="8">
        <v>0.4</v>
      </c>
      <c r="G85" s="4">
        <v>55</v>
      </c>
      <c r="H85" s="8">
        <v>2.19</v>
      </c>
      <c r="I85" s="4">
        <v>0</v>
      </c>
    </row>
    <row r="86" spans="1:9" x14ac:dyDescent="0.15">
      <c r="A86" s="2">
        <v>18</v>
      </c>
      <c r="B86" s="1" t="s">
        <v>158</v>
      </c>
      <c r="C86" s="4">
        <v>59</v>
      </c>
      <c r="D86" s="8">
        <v>1.3</v>
      </c>
      <c r="E86" s="4">
        <v>7</v>
      </c>
      <c r="F86" s="8">
        <v>0.35</v>
      </c>
      <c r="G86" s="4">
        <v>52</v>
      </c>
      <c r="H86" s="8">
        <v>2.0699999999999998</v>
      </c>
      <c r="I86" s="4">
        <v>0</v>
      </c>
    </row>
    <row r="87" spans="1:9" x14ac:dyDescent="0.15">
      <c r="A87" s="2">
        <v>19</v>
      </c>
      <c r="B87" s="1" t="s">
        <v>162</v>
      </c>
      <c r="C87" s="4">
        <v>56</v>
      </c>
      <c r="D87" s="8">
        <v>1.23</v>
      </c>
      <c r="E87" s="4">
        <v>53</v>
      </c>
      <c r="F87" s="8">
        <v>2.64</v>
      </c>
      <c r="G87" s="4">
        <v>3</v>
      </c>
      <c r="H87" s="8">
        <v>0.12</v>
      </c>
      <c r="I87" s="4">
        <v>0</v>
      </c>
    </row>
    <row r="88" spans="1:9" x14ac:dyDescent="0.15">
      <c r="A88" s="2">
        <v>20</v>
      </c>
      <c r="B88" s="1" t="s">
        <v>153</v>
      </c>
      <c r="C88" s="4">
        <v>55</v>
      </c>
      <c r="D88" s="8">
        <v>1.21</v>
      </c>
      <c r="E88" s="4">
        <v>28</v>
      </c>
      <c r="F88" s="8">
        <v>1.39</v>
      </c>
      <c r="G88" s="4">
        <v>27</v>
      </c>
      <c r="H88" s="8">
        <v>1.07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148</v>
      </c>
      <c r="C91" s="4">
        <v>175</v>
      </c>
      <c r="D91" s="8">
        <v>5.22</v>
      </c>
      <c r="E91" s="4">
        <v>131</v>
      </c>
      <c r="F91" s="8">
        <v>11.95</v>
      </c>
      <c r="G91" s="4">
        <v>44</v>
      </c>
      <c r="H91" s="8">
        <v>1.95</v>
      </c>
      <c r="I91" s="4">
        <v>0</v>
      </c>
    </row>
    <row r="92" spans="1:9" x14ac:dyDescent="0.15">
      <c r="A92" s="2">
        <v>2</v>
      </c>
      <c r="B92" s="1" t="s">
        <v>142</v>
      </c>
      <c r="C92" s="4">
        <v>122</v>
      </c>
      <c r="D92" s="8">
        <v>3.64</v>
      </c>
      <c r="E92" s="4">
        <v>7</v>
      </c>
      <c r="F92" s="8">
        <v>0.64</v>
      </c>
      <c r="G92" s="4">
        <v>115</v>
      </c>
      <c r="H92" s="8">
        <v>5.0999999999999996</v>
      </c>
      <c r="I92" s="4">
        <v>0</v>
      </c>
    </row>
    <row r="93" spans="1:9" x14ac:dyDescent="0.15">
      <c r="A93" s="2">
        <v>3</v>
      </c>
      <c r="B93" s="1" t="s">
        <v>145</v>
      </c>
      <c r="C93" s="4">
        <v>110</v>
      </c>
      <c r="D93" s="8">
        <v>3.28</v>
      </c>
      <c r="E93" s="4">
        <v>38</v>
      </c>
      <c r="F93" s="8">
        <v>3.47</v>
      </c>
      <c r="G93" s="4">
        <v>72</v>
      </c>
      <c r="H93" s="8">
        <v>3.19</v>
      </c>
      <c r="I93" s="4">
        <v>0</v>
      </c>
    </row>
    <row r="94" spans="1:9" x14ac:dyDescent="0.15">
      <c r="A94" s="2">
        <v>4</v>
      </c>
      <c r="B94" s="1" t="s">
        <v>155</v>
      </c>
      <c r="C94" s="4">
        <v>102</v>
      </c>
      <c r="D94" s="8">
        <v>3.04</v>
      </c>
      <c r="E94" s="4">
        <v>75</v>
      </c>
      <c r="F94" s="8">
        <v>6.84</v>
      </c>
      <c r="G94" s="4">
        <v>27</v>
      </c>
      <c r="H94" s="8">
        <v>1.2</v>
      </c>
      <c r="I94" s="4">
        <v>0</v>
      </c>
    </row>
    <row r="95" spans="1:9" x14ac:dyDescent="0.15">
      <c r="A95" s="2">
        <v>5</v>
      </c>
      <c r="B95" s="1" t="s">
        <v>165</v>
      </c>
      <c r="C95" s="4">
        <v>92</v>
      </c>
      <c r="D95" s="8">
        <v>2.74</v>
      </c>
      <c r="E95" s="4">
        <v>5</v>
      </c>
      <c r="F95" s="8">
        <v>0.46</v>
      </c>
      <c r="G95" s="4">
        <v>87</v>
      </c>
      <c r="H95" s="8">
        <v>3.86</v>
      </c>
      <c r="I95" s="4">
        <v>0</v>
      </c>
    </row>
    <row r="96" spans="1:9" x14ac:dyDescent="0.15">
      <c r="A96" s="2">
        <v>6</v>
      </c>
      <c r="B96" s="1" t="s">
        <v>150</v>
      </c>
      <c r="C96" s="4">
        <v>90</v>
      </c>
      <c r="D96" s="8">
        <v>2.68</v>
      </c>
      <c r="E96" s="4">
        <v>57</v>
      </c>
      <c r="F96" s="8">
        <v>5.2</v>
      </c>
      <c r="G96" s="4">
        <v>33</v>
      </c>
      <c r="H96" s="8">
        <v>1.46</v>
      </c>
      <c r="I96" s="4">
        <v>0</v>
      </c>
    </row>
    <row r="97" spans="1:9" x14ac:dyDescent="0.15">
      <c r="A97" s="2">
        <v>7</v>
      </c>
      <c r="B97" s="1" t="s">
        <v>151</v>
      </c>
      <c r="C97" s="4">
        <v>76</v>
      </c>
      <c r="D97" s="8">
        <v>2.27</v>
      </c>
      <c r="E97" s="4">
        <v>47</v>
      </c>
      <c r="F97" s="8">
        <v>4.29</v>
      </c>
      <c r="G97" s="4">
        <v>29</v>
      </c>
      <c r="H97" s="8">
        <v>1.29</v>
      </c>
      <c r="I97" s="4">
        <v>0</v>
      </c>
    </row>
    <row r="98" spans="1:9" x14ac:dyDescent="0.15">
      <c r="A98" s="2">
        <v>8</v>
      </c>
      <c r="B98" s="1" t="s">
        <v>157</v>
      </c>
      <c r="C98" s="4">
        <v>75</v>
      </c>
      <c r="D98" s="8">
        <v>2.2400000000000002</v>
      </c>
      <c r="E98" s="4">
        <v>62</v>
      </c>
      <c r="F98" s="8">
        <v>5.66</v>
      </c>
      <c r="G98" s="4">
        <v>13</v>
      </c>
      <c r="H98" s="8">
        <v>0.57999999999999996</v>
      </c>
      <c r="I98" s="4">
        <v>0</v>
      </c>
    </row>
    <row r="99" spans="1:9" x14ac:dyDescent="0.15">
      <c r="A99" s="2">
        <v>9</v>
      </c>
      <c r="B99" s="1" t="s">
        <v>146</v>
      </c>
      <c r="C99" s="4">
        <v>73</v>
      </c>
      <c r="D99" s="8">
        <v>2.1800000000000002</v>
      </c>
      <c r="E99" s="4">
        <v>3</v>
      </c>
      <c r="F99" s="8">
        <v>0.27</v>
      </c>
      <c r="G99" s="4">
        <v>70</v>
      </c>
      <c r="H99" s="8">
        <v>3.11</v>
      </c>
      <c r="I99" s="4">
        <v>0</v>
      </c>
    </row>
    <row r="100" spans="1:9" x14ac:dyDescent="0.15">
      <c r="A100" s="2">
        <v>10</v>
      </c>
      <c r="B100" s="1" t="s">
        <v>143</v>
      </c>
      <c r="C100" s="4">
        <v>72</v>
      </c>
      <c r="D100" s="8">
        <v>2.15</v>
      </c>
      <c r="E100" s="4">
        <v>26</v>
      </c>
      <c r="F100" s="8">
        <v>2.37</v>
      </c>
      <c r="G100" s="4">
        <v>46</v>
      </c>
      <c r="H100" s="8">
        <v>2.04</v>
      </c>
      <c r="I100" s="4">
        <v>0</v>
      </c>
    </row>
    <row r="101" spans="1:9" x14ac:dyDescent="0.15">
      <c r="A101" s="2">
        <v>10</v>
      </c>
      <c r="B101" s="1" t="s">
        <v>147</v>
      </c>
      <c r="C101" s="4">
        <v>72</v>
      </c>
      <c r="D101" s="8">
        <v>2.15</v>
      </c>
      <c r="E101" s="4">
        <v>15</v>
      </c>
      <c r="F101" s="8">
        <v>1.37</v>
      </c>
      <c r="G101" s="4">
        <v>57</v>
      </c>
      <c r="H101" s="8">
        <v>2.5299999999999998</v>
      </c>
      <c r="I101" s="4">
        <v>0</v>
      </c>
    </row>
    <row r="102" spans="1:9" x14ac:dyDescent="0.15">
      <c r="A102" s="2">
        <v>10</v>
      </c>
      <c r="B102" s="1" t="s">
        <v>152</v>
      </c>
      <c r="C102" s="4">
        <v>72</v>
      </c>
      <c r="D102" s="8">
        <v>2.15</v>
      </c>
      <c r="E102" s="4">
        <v>59</v>
      </c>
      <c r="F102" s="8">
        <v>5.38</v>
      </c>
      <c r="G102" s="4">
        <v>13</v>
      </c>
      <c r="H102" s="8">
        <v>0.57999999999999996</v>
      </c>
      <c r="I102" s="4">
        <v>0</v>
      </c>
    </row>
    <row r="103" spans="1:9" x14ac:dyDescent="0.15">
      <c r="A103" s="2">
        <v>13</v>
      </c>
      <c r="B103" s="1" t="s">
        <v>162</v>
      </c>
      <c r="C103" s="4">
        <v>68</v>
      </c>
      <c r="D103" s="8">
        <v>2.0299999999999998</v>
      </c>
      <c r="E103" s="4">
        <v>62</v>
      </c>
      <c r="F103" s="8">
        <v>5.66</v>
      </c>
      <c r="G103" s="4">
        <v>6</v>
      </c>
      <c r="H103" s="8">
        <v>0.27</v>
      </c>
      <c r="I103" s="4">
        <v>0</v>
      </c>
    </row>
    <row r="104" spans="1:9" x14ac:dyDescent="0.15">
      <c r="A104" s="2">
        <v>13</v>
      </c>
      <c r="B104" s="1" t="s">
        <v>156</v>
      </c>
      <c r="C104" s="4">
        <v>68</v>
      </c>
      <c r="D104" s="8">
        <v>2.0299999999999998</v>
      </c>
      <c r="E104" s="4">
        <v>40</v>
      </c>
      <c r="F104" s="8">
        <v>3.65</v>
      </c>
      <c r="G104" s="4">
        <v>28</v>
      </c>
      <c r="H104" s="8">
        <v>1.24</v>
      </c>
      <c r="I104" s="4">
        <v>0</v>
      </c>
    </row>
    <row r="105" spans="1:9" x14ac:dyDescent="0.15">
      <c r="A105" s="2">
        <v>15</v>
      </c>
      <c r="B105" s="1" t="s">
        <v>154</v>
      </c>
      <c r="C105" s="4">
        <v>52</v>
      </c>
      <c r="D105" s="8">
        <v>1.55</v>
      </c>
      <c r="E105" s="4">
        <v>46</v>
      </c>
      <c r="F105" s="8">
        <v>4.2</v>
      </c>
      <c r="G105" s="4">
        <v>6</v>
      </c>
      <c r="H105" s="8">
        <v>0.27</v>
      </c>
      <c r="I105" s="4">
        <v>0</v>
      </c>
    </row>
    <row r="106" spans="1:9" x14ac:dyDescent="0.15">
      <c r="A106" s="2">
        <v>16</v>
      </c>
      <c r="B106" s="1" t="s">
        <v>149</v>
      </c>
      <c r="C106" s="4">
        <v>47</v>
      </c>
      <c r="D106" s="8">
        <v>1.4</v>
      </c>
      <c r="E106" s="4">
        <v>2</v>
      </c>
      <c r="F106" s="8">
        <v>0.18</v>
      </c>
      <c r="G106" s="4">
        <v>45</v>
      </c>
      <c r="H106" s="8">
        <v>2</v>
      </c>
      <c r="I106" s="4">
        <v>0</v>
      </c>
    </row>
    <row r="107" spans="1:9" x14ac:dyDescent="0.15">
      <c r="A107" s="2">
        <v>16</v>
      </c>
      <c r="B107" s="1" t="s">
        <v>159</v>
      </c>
      <c r="C107" s="4">
        <v>47</v>
      </c>
      <c r="D107" s="8">
        <v>1.4</v>
      </c>
      <c r="E107" s="4">
        <v>9</v>
      </c>
      <c r="F107" s="8">
        <v>0.82</v>
      </c>
      <c r="G107" s="4">
        <v>38</v>
      </c>
      <c r="H107" s="8">
        <v>1.69</v>
      </c>
      <c r="I107" s="4">
        <v>0</v>
      </c>
    </row>
    <row r="108" spans="1:9" x14ac:dyDescent="0.15">
      <c r="A108" s="2">
        <v>18</v>
      </c>
      <c r="B108" s="1" t="s">
        <v>166</v>
      </c>
      <c r="C108" s="4">
        <v>44</v>
      </c>
      <c r="D108" s="8">
        <v>1.31</v>
      </c>
      <c r="E108" s="4">
        <v>8</v>
      </c>
      <c r="F108" s="8">
        <v>0.73</v>
      </c>
      <c r="G108" s="4">
        <v>36</v>
      </c>
      <c r="H108" s="8">
        <v>1.6</v>
      </c>
      <c r="I108" s="4">
        <v>0</v>
      </c>
    </row>
    <row r="109" spans="1:9" x14ac:dyDescent="0.15">
      <c r="A109" s="2">
        <v>19</v>
      </c>
      <c r="B109" s="1" t="s">
        <v>164</v>
      </c>
      <c r="C109" s="4">
        <v>43</v>
      </c>
      <c r="D109" s="8">
        <v>1.28</v>
      </c>
      <c r="E109" s="4">
        <v>0</v>
      </c>
      <c r="F109" s="8">
        <v>0</v>
      </c>
      <c r="G109" s="4">
        <v>43</v>
      </c>
      <c r="H109" s="8">
        <v>1.91</v>
      </c>
      <c r="I109" s="4">
        <v>0</v>
      </c>
    </row>
    <row r="110" spans="1:9" x14ac:dyDescent="0.15">
      <c r="A110" s="2">
        <v>19</v>
      </c>
      <c r="B110" s="1" t="s">
        <v>161</v>
      </c>
      <c r="C110" s="4">
        <v>43</v>
      </c>
      <c r="D110" s="8">
        <v>1.28</v>
      </c>
      <c r="E110" s="4">
        <v>4</v>
      </c>
      <c r="F110" s="8">
        <v>0.36</v>
      </c>
      <c r="G110" s="4">
        <v>39</v>
      </c>
      <c r="H110" s="8">
        <v>1.73</v>
      </c>
      <c r="I110" s="4">
        <v>0</v>
      </c>
    </row>
    <row r="111" spans="1:9" x14ac:dyDescent="0.15">
      <c r="A111" s="2">
        <v>19</v>
      </c>
      <c r="B111" s="1" t="s">
        <v>167</v>
      </c>
      <c r="C111" s="4">
        <v>43</v>
      </c>
      <c r="D111" s="8">
        <v>1.28</v>
      </c>
      <c r="E111" s="4">
        <v>2</v>
      </c>
      <c r="F111" s="8">
        <v>0.18</v>
      </c>
      <c r="G111" s="4">
        <v>40</v>
      </c>
      <c r="H111" s="8">
        <v>1.77</v>
      </c>
      <c r="I111" s="4">
        <v>1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152</v>
      </c>
      <c r="C114" s="4">
        <v>381</v>
      </c>
      <c r="D114" s="8">
        <v>5.37</v>
      </c>
      <c r="E114" s="4">
        <v>330</v>
      </c>
      <c r="F114" s="8">
        <v>11.55</v>
      </c>
      <c r="G114" s="4">
        <v>51</v>
      </c>
      <c r="H114" s="8">
        <v>1.21</v>
      </c>
      <c r="I114" s="4">
        <v>0</v>
      </c>
    </row>
    <row r="115" spans="1:9" x14ac:dyDescent="0.15">
      <c r="A115" s="2">
        <v>2</v>
      </c>
      <c r="B115" s="1" t="s">
        <v>150</v>
      </c>
      <c r="C115" s="4">
        <v>371</v>
      </c>
      <c r="D115" s="8">
        <v>5.23</v>
      </c>
      <c r="E115" s="4">
        <v>242</v>
      </c>
      <c r="F115" s="8">
        <v>8.4700000000000006</v>
      </c>
      <c r="G115" s="4">
        <v>129</v>
      </c>
      <c r="H115" s="8">
        <v>3.06</v>
      </c>
      <c r="I115" s="4">
        <v>0</v>
      </c>
    </row>
    <row r="116" spans="1:9" x14ac:dyDescent="0.15">
      <c r="A116" s="2">
        <v>3</v>
      </c>
      <c r="B116" s="1" t="s">
        <v>151</v>
      </c>
      <c r="C116" s="4">
        <v>318</v>
      </c>
      <c r="D116" s="8">
        <v>4.49</v>
      </c>
      <c r="E116" s="4">
        <v>252</v>
      </c>
      <c r="F116" s="8">
        <v>8.82</v>
      </c>
      <c r="G116" s="4">
        <v>66</v>
      </c>
      <c r="H116" s="8">
        <v>1.57</v>
      </c>
      <c r="I116" s="4">
        <v>0</v>
      </c>
    </row>
    <row r="117" spans="1:9" x14ac:dyDescent="0.15">
      <c r="A117" s="2">
        <v>4</v>
      </c>
      <c r="B117" s="1" t="s">
        <v>148</v>
      </c>
      <c r="C117" s="4">
        <v>275</v>
      </c>
      <c r="D117" s="8">
        <v>3.88</v>
      </c>
      <c r="E117" s="4">
        <v>163</v>
      </c>
      <c r="F117" s="8">
        <v>5.71</v>
      </c>
      <c r="G117" s="4">
        <v>112</v>
      </c>
      <c r="H117" s="8">
        <v>2.66</v>
      </c>
      <c r="I117" s="4">
        <v>0</v>
      </c>
    </row>
    <row r="118" spans="1:9" x14ac:dyDescent="0.15">
      <c r="A118" s="2">
        <v>5</v>
      </c>
      <c r="B118" s="1" t="s">
        <v>145</v>
      </c>
      <c r="C118" s="4">
        <v>224</v>
      </c>
      <c r="D118" s="8">
        <v>3.16</v>
      </c>
      <c r="E118" s="4">
        <v>97</v>
      </c>
      <c r="F118" s="8">
        <v>3.4</v>
      </c>
      <c r="G118" s="4">
        <v>127</v>
      </c>
      <c r="H118" s="8">
        <v>3.02</v>
      </c>
      <c r="I118" s="4">
        <v>0</v>
      </c>
    </row>
    <row r="119" spans="1:9" x14ac:dyDescent="0.15">
      <c r="A119" s="2">
        <v>6</v>
      </c>
      <c r="B119" s="1" t="s">
        <v>168</v>
      </c>
      <c r="C119" s="4">
        <v>222</v>
      </c>
      <c r="D119" s="8">
        <v>3.13</v>
      </c>
      <c r="E119" s="4">
        <v>219</v>
      </c>
      <c r="F119" s="8">
        <v>7.67</v>
      </c>
      <c r="G119" s="4">
        <v>3</v>
      </c>
      <c r="H119" s="8">
        <v>7.0000000000000007E-2</v>
      </c>
      <c r="I119" s="4">
        <v>0</v>
      </c>
    </row>
    <row r="120" spans="1:9" x14ac:dyDescent="0.15">
      <c r="A120" s="2">
        <v>7</v>
      </c>
      <c r="B120" s="1" t="s">
        <v>147</v>
      </c>
      <c r="C120" s="4">
        <v>190</v>
      </c>
      <c r="D120" s="8">
        <v>2.68</v>
      </c>
      <c r="E120" s="4">
        <v>39</v>
      </c>
      <c r="F120" s="8">
        <v>1.37</v>
      </c>
      <c r="G120" s="4">
        <v>150</v>
      </c>
      <c r="H120" s="8">
        <v>3.56</v>
      </c>
      <c r="I120" s="4">
        <v>1</v>
      </c>
    </row>
    <row r="121" spans="1:9" x14ac:dyDescent="0.15">
      <c r="A121" s="2">
        <v>8</v>
      </c>
      <c r="B121" s="1" t="s">
        <v>155</v>
      </c>
      <c r="C121" s="4">
        <v>187</v>
      </c>
      <c r="D121" s="8">
        <v>2.64</v>
      </c>
      <c r="E121" s="4">
        <v>137</v>
      </c>
      <c r="F121" s="8">
        <v>4.8</v>
      </c>
      <c r="G121" s="4">
        <v>50</v>
      </c>
      <c r="H121" s="8">
        <v>1.19</v>
      </c>
      <c r="I121" s="4">
        <v>0</v>
      </c>
    </row>
    <row r="122" spans="1:9" x14ac:dyDescent="0.15">
      <c r="A122" s="2">
        <v>9</v>
      </c>
      <c r="B122" s="1" t="s">
        <v>159</v>
      </c>
      <c r="C122" s="4">
        <v>170</v>
      </c>
      <c r="D122" s="8">
        <v>2.4</v>
      </c>
      <c r="E122" s="4">
        <v>34</v>
      </c>
      <c r="F122" s="8">
        <v>1.19</v>
      </c>
      <c r="G122" s="4">
        <v>136</v>
      </c>
      <c r="H122" s="8">
        <v>3.23</v>
      </c>
      <c r="I122" s="4">
        <v>0</v>
      </c>
    </row>
    <row r="123" spans="1:9" x14ac:dyDescent="0.15">
      <c r="A123" s="2">
        <v>10</v>
      </c>
      <c r="B123" s="1" t="s">
        <v>146</v>
      </c>
      <c r="C123" s="4">
        <v>163</v>
      </c>
      <c r="D123" s="8">
        <v>2.2999999999999998</v>
      </c>
      <c r="E123" s="4">
        <v>11</v>
      </c>
      <c r="F123" s="8">
        <v>0.39</v>
      </c>
      <c r="G123" s="4">
        <v>152</v>
      </c>
      <c r="H123" s="8">
        <v>3.61</v>
      </c>
      <c r="I123" s="4">
        <v>0</v>
      </c>
    </row>
    <row r="124" spans="1:9" x14ac:dyDescent="0.15">
      <c r="A124" s="2">
        <v>11</v>
      </c>
      <c r="B124" s="1" t="s">
        <v>157</v>
      </c>
      <c r="C124" s="4">
        <v>156</v>
      </c>
      <c r="D124" s="8">
        <v>2.2000000000000002</v>
      </c>
      <c r="E124" s="4">
        <v>113</v>
      </c>
      <c r="F124" s="8">
        <v>3.96</v>
      </c>
      <c r="G124" s="4">
        <v>43</v>
      </c>
      <c r="H124" s="8">
        <v>1.02</v>
      </c>
      <c r="I124" s="4">
        <v>0</v>
      </c>
    </row>
    <row r="125" spans="1:9" x14ac:dyDescent="0.15">
      <c r="A125" s="2">
        <v>12</v>
      </c>
      <c r="B125" s="1" t="s">
        <v>162</v>
      </c>
      <c r="C125" s="4">
        <v>144</v>
      </c>
      <c r="D125" s="8">
        <v>2.0299999999999998</v>
      </c>
      <c r="E125" s="4">
        <v>139</v>
      </c>
      <c r="F125" s="8">
        <v>4.87</v>
      </c>
      <c r="G125" s="4">
        <v>5</v>
      </c>
      <c r="H125" s="8">
        <v>0.12</v>
      </c>
      <c r="I125" s="4">
        <v>0</v>
      </c>
    </row>
    <row r="126" spans="1:9" x14ac:dyDescent="0.15">
      <c r="A126" s="2">
        <v>13</v>
      </c>
      <c r="B126" s="1" t="s">
        <v>142</v>
      </c>
      <c r="C126" s="4">
        <v>128</v>
      </c>
      <c r="D126" s="8">
        <v>1.81</v>
      </c>
      <c r="E126" s="4">
        <v>38</v>
      </c>
      <c r="F126" s="8">
        <v>1.33</v>
      </c>
      <c r="G126" s="4">
        <v>90</v>
      </c>
      <c r="H126" s="8">
        <v>2.14</v>
      </c>
      <c r="I126" s="4">
        <v>0</v>
      </c>
    </row>
    <row r="127" spans="1:9" x14ac:dyDescent="0.15">
      <c r="A127" s="2">
        <v>14</v>
      </c>
      <c r="B127" s="1" t="s">
        <v>149</v>
      </c>
      <c r="C127" s="4">
        <v>114</v>
      </c>
      <c r="D127" s="8">
        <v>1.61</v>
      </c>
      <c r="E127" s="4">
        <v>5</v>
      </c>
      <c r="F127" s="8">
        <v>0.18</v>
      </c>
      <c r="G127" s="4">
        <v>108</v>
      </c>
      <c r="H127" s="8">
        <v>2.56</v>
      </c>
      <c r="I127" s="4">
        <v>1</v>
      </c>
    </row>
    <row r="128" spans="1:9" x14ac:dyDescent="0.15">
      <c r="A128" s="2">
        <v>15</v>
      </c>
      <c r="B128" s="1" t="s">
        <v>165</v>
      </c>
      <c r="C128" s="4">
        <v>110</v>
      </c>
      <c r="D128" s="8">
        <v>1.55</v>
      </c>
      <c r="E128" s="4">
        <v>27</v>
      </c>
      <c r="F128" s="8">
        <v>0.95</v>
      </c>
      <c r="G128" s="4">
        <v>83</v>
      </c>
      <c r="H128" s="8">
        <v>1.97</v>
      </c>
      <c r="I128" s="4">
        <v>0</v>
      </c>
    </row>
    <row r="129" spans="1:9" x14ac:dyDescent="0.15">
      <c r="A129" s="2">
        <v>16</v>
      </c>
      <c r="B129" s="1" t="s">
        <v>170</v>
      </c>
      <c r="C129" s="4">
        <v>103</v>
      </c>
      <c r="D129" s="8">
        <v>1.45</v>
      </c>
      <c r="E129" s="4">
        <v>70</v>
      </c>
      <c r="F129" s="8">
        <v>2.4500000000000002</v>
      </c>
      <c r="G129" s="4">
        <v>33</v>
      </c>
      <c r="H129" s="8">
        <v>0.78</v>
      </c>
      <c r="I129" s="4">
        <v>0</v>
      </c>
    </row>
    <row r="130" spans="1:9" x14ac:dyDescent="0.15">
      <c r="A130" s="2">
        <v>17</v>
      </c>
      <c r="B130" s="1" t="s">
        <v>143</v>
      </c>
      <c r="C130" s="4">
        <v>102</v>
      </c>
      <c r="D130" s="8">
        <v>1.44</v>
      </c>
      <c r="E130" s="4">
        <v>40</v>
      </c>
      <c r="F130" s="8">
        <v>1.4</v>
      </c>
      <c r="G130" s="4">
        <v>62</v>
      </c>
      <c r="H130" s="8">
        <v>1.47</v>
      </c>
      <c r="I130" s="4">
        <v>0</v>
      </c>
    </row>
    <row r="131" spans="1:9" x14ac:dyDescent="0.15">
      <c r="A131" s="2">
        <v>18</v>
      </c>
      <c r="B131" s="1" t="s">
        <v>169</v>
      </c>
      <c r="C131" s="4">
        <v>96</v>
      </c>
      <c r="D131" s="8">
        <v>1.35</v>
      </c>
      <c r="E131" s="4">
        <v>10</v>
      </c>
      <c r="F131" s="8">
        <v>0.35</v>
      </c>
      <c r="G131" s="4">
        <v>86</v>
      </c>
      <c r="H131" s="8">
        <v>2.04</v>
      </c>
      <c r="I131" s="4">
        <v>0</v>
      </c>
    </row>
    <row r="132" spans="1:9" x14ac:dyDescent="0.15">
      <c r="A132" s="2">
        <v>19</v>
      </c>
      <c r="B132" s="1" t="s">
        <v>167</v>
      </c>
      <c r="C132" s="4">
        <v>91</v>
      </c>
      <c r="D132" s="8">
        <v>1.28</v>
      </c>
      <c r="E132" s="4">
        <v>6</v>
      </c>
      <c r="F132" s="8">
        <v>0.21</v>
      </c>
      <c r="G132" s="4">
        <v>79</v>
      </c>
      <c r="H132" s="8">
        <v>1.88</v>
      </c>
      <c r="I132" s="4">
        <v>6</v>
      </c>
    </row>
    <row r="133" spans="1:9" x14ac:dyDescent="0.15">
      <c r="A133" s="2">
        <v>20</v>
      </c>
      <c r="B133" s="1" t="s">
        <v>156</v>
      </c>
      <c r="C133" s="4">
        <v>90</v>
      </c>
      <c r="D133" s="8">
        <v>1.27</v>
      </c>
      <c r="E133" s="4">
        <v>56</v>
      </c>
      <c r="F133" s="8">
        <v>1.96</v>
      </c>
      <c r="G133" s="4">
        <v>34</v>
      </c>
      <c r="H133" s="8">
        <v>0.81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148</v>
      </c>
      <c r="C136" s="4">
        <v>219</v>
      </c>
      <c r="D136" s="8">
        <v>6.29</v>
      </c>
      <c r="E136" s="4">
        <v>154</v>
      </c>
      <c r="F136" s="8">
        <v>9.2200000000000006</v>
      </c>
      <c r="G136" s="4">
        <v>65</v>
      </c>
      <c r="H136" s="8">
        <v>3.6</v>
      </c>
      <c r="I136" s="4">
        <v>0</v>
      </c>
    </row>
    <row r="137" spans="1:9" x14ac:dyDescent="0.15">
      <c r="A137" s="2">
        <v>2</v>
      </c>
      <c r="B137" s="1" t="s">
        <v>155</v>
      </c>
      <c r="C137" s="4">
        <v>176</v>
      </c>
      <c r="D137" s="8">
        <v>5.0599999999999996</v>
      </c>
      <c r="E137" s="4">
        <v>147</v>
      </c>
      <c r="F137" s="8">
        <v>8.8000000000000007</v>
      </c>
      <c r="G137" s="4">
        <v>29</v>
      </c>
      <c r="H137" s="8">
        <v>1.6</v>
      </c>
      <c r="I137" s="4">
        <v>0</v>
      </c>
    </row>
    <row r="138" spans="1:9" x14ac:dyDescent="0.15">
      <c r="A138" s="2">
        <v>3</v>
      </c>
      <c r="B138" s="1" t="s">
        <v>150</v>
      </c>
      <c r="C138" s="4">
        <v>133</v>
      </c>
      <c r="D138" s="8">
        <v>3.82</v>
      </c>
      <c r="E138" s="4">
        <v>99</v>
      </c>
      <c r="F138" s="8">
        <v>5.92</v>
      </c>
      <c r="G138" s="4">
        <v>34</v>
      </c>
      <c r="H138" s="8">
        <v>1.88</v>
      </c>
      <c r="I138" s="4">
        <v>0</v>
      </c>
    </row>
    <row r="139" spans="1:9" x14ac:dyDescent="0.15">
      <c r="A139" s="2">
        <v>4</v>
      </c>
      <c r="B139" s="1" t="s">
        <v>151</v>
      </c>
      <c r="C139" s="4">
        <v>125</v>
      </c>
      <c r="D139" s="8">
        <v>3.59</v>
      </c>
      <c r="E139" s="4">
        <v>110</v>
      </c>
      <c r="F139" s="8">
        <v>6.58</v>
      </c>
      <c r="G139" s="4">
        <v>15</v>
      </c>
      <c r="H139" s="8">
        <v>0.83</v>
      </c>
      <c r="I139" s="4">
        <v>0</v>
      </c>
    </row>
    <row r="140" spans="1:9" x14ac:dyDescent="0.15">
      <c r="A140" s="2">
        <v>5</v>
      </c>
      <c r="B140" s="1" t="s">
        <v>152</v>
      </c>
      <c r="C140" s="4">
        <v>110</v>
      </c>
      <c r="D140" s="8">
        <v>3.16</v>
      </c>
      <c r="E140" s="4">
        <v>95</v>
      </c>
      <c r="F140" s="8">
        <v>5.69</v>
      </c>
      <c r="G140" s="4">
        <v>15</v>
      </c>
      <c r="H140" s="8">
        <v>0.83</v>
      </c>
      <c r="I140" s="4">
        <v>0</v>
      </c>
    </row>
    <row r="141" spans="1:9" x14ac:dyDescent="0.15">
      <c r="A141" s="2">
        <v>6</v>
      </c>
      <c r="B141" s="1" t="s">
        <v>145</v>
      </c>
      <c r="C141" s="4">
        <v>106</v>
      </c>
      <c r="D141" s="8">
        <v>3.05</v>
      </c>
      <c r="E141" s="4">
        <v>65</v>
      </c>
      <c r="F141" s="8">
        <v>3.89</v>
      </c>
      <c r="G141" s="4">
        <v>41</v>
      </c>
      <c r="H141" s="8">
        <v>2.27</v>
      </c>
      <c r="I141" s="4">
        <v>0</v>
      </c>
    </row>
    <row r="142" spans="1:9" x14ac:dyDescent="0.15">
      <c r="A142" s="2">
        <v>6</v>
      </c>
      <c r="B142" s="1" t="s">
        <v>154</v>
      </c>
      <c r="C142" s="4">
        <v>106</v>
      </c>
      <c r="D142" s="8">
        <v>3.05</v>
      </c>
      <c r="E142" s="4">
        <v>99</v>
      </c>
      <c r="F142" s="8">
        <v>5.92</v>
      </c>
      <c r="G142" s="4">
        <v>7</v>
      </c>
      <c r="H142" s="8">
        <v>0.39</v>
      </c>
      <c r="I142" s="4">
        <v>0</v>
      </c>
    </row>
    <row r="143" spans="1:9" x14ac:dyDescent="0.15">
      <c r="A143" s="2">
        <v>8</v>
      </c>
      <c r="B143" s="1" t="s">
        <v>143</v>
      </c>
      <c r="C143" s="4">
        <v>92</v>
      </c>
      <c r="D143" s="8">
        <v>2.64</v>
      </c>
      <c r="E143" s="4">
        <v>50</v>
      </c>
      <c r="F143" s="8">
        <v>2.99</v>
      </c>
      <c r="G143" s="4">
        <v>42</v>
      </c>
      <c r="H143" s="8">
        <v>2.3199999999999998</v>
      </c>
      <c r="I143" s="4">
        <v>0</v>
      </c>
    </row>
    <row r="144" spans="1:9" x14ac:dyDescent="0.15">
      <c r="A144" s="2">
        <v>9</v>
      </c>
      <c r="B144" s="1" t="s">
        <v>157</v>
      </c>
      <c r="C144" s="4">
        <v>77</v>
      </c>
      <c r="D144" s="8">
        <v>2.21</v>
      </c>
      <c r="E144" s="4">
        <v>63</v>
      </c>
      <c r="F144" s="8">
        <v>3.77</v>
      </c>
      <c r="G144" s="4">
        <v>14</v>
      </c>
      <c r="H144" s="8">
        <v>0.77</v>
      </c>
      <c r="I144" s="4">
        <v>0</v>
      </c>
    </row>
    <row r="145" spans="1:9" x14ac:dyDescent="0.15">
      <c r="A145" s="2">
        <v>10</v>
      </c>
      <c r="B145" s="1" t="s">
        <v>146</v>
      </c>
      <c r="C145" s="4">
        <v>64</v>
      </c>
      <c r="D145" s="8">
        <v>1.84</v>
      </c>
      <c r="E145" s="4">
        <v>7</v>
      </c>
      <c r="F145" s="8">
        <v>0.42</v>
      </c>
      <c r="G145" s="4">
        <v>57</v>
      </c>
      <c r="H145" s="8">
        <v>3.15</v>
      </c>
      <c r="I145" s="4">
        <v>0</v>
      </c>
    </row>
    <row r="146" spans="1:9" x14ac:dyDescent="0.15">
      <c r="A146" s="2">
        <v>11</v>
      </c>
      <c r="B146" s="1" t="s">
        <v>172</v>
      </c>
      <c r="C146" s="4">
        <v>63</v>
      </c>
      <c r="D146" s="8">
        <v>1.81</v>
      </c>
      <c r="E146" s="4">
        <v>6</v>
      </c>
      <c r="F146" s="8">
        <v>0.36</v>
      </c>
      <c r="G146" s="4">
        <v>57</v>
      </c>
      <c r="H146" s="8">
        <v>3.15</v>
      </c>
      <c r="I146" s="4">
        <v>0</v>
      </c>
    </row>
    <row r="147" spans="1:9" x14ac:dyDescent="0.15">
      <c r="A147" s="2">
        <v>12</v>
      </c>
      <c r="B147" s="1" t="s">
        <v>153</v>
      </c>
      <c r="C147" s="4">
        <v>59</v>
      </c>
      <c r="D147" s="8">
        <v>1.7</v>
      </c>
      <c r="E147" s="4">
        <v>34</v>
      </c>
      <c r="F147" s="8">
        <v>2.0299999999999998</v>
      </c>
      <c r="G147" s="4">
        <v>25</v>
      </c>
      <c r="H147" s="8">
        <v>1.38</v>
      </c>
      <c r="I147" s="4">
        <v>0</v>
      </c>
    </row>
    <row r="148" spans="1:9" x14ac:dyDescent="0.15">
      <c r="A148" s="2">
        <v>13</v>
      </c>
      <c r="B148" s="1" t="s">
        <v>141</v>
      </c>
      <c r="C148" s="4">
        <v>58</v>
      </c>
      <c r="D148" s="8">
        <v>1.67</v>
      </c>
      <c r="E148" s="4">
        <v>2</v>
      </c>
      <c r="F148" s="8">
        <v>0.12</v>
      </c>
      <c r="G148" s="4">
        <v>56</v>
      </c>
      <c r="H148" s="8">
        <v>3.1</v>
      </c>
      <c r="I148" s="4">
        <v>0</v>
      </c>
    </row>
    <row r="149" spans="1:9" x14ac:dyDescent="0.15">
      <c r="A149" s="2">
        <v>13</v>
      </c>
      <c r="B149" s="1" t="s">
        <v>156</v>
      </c>
      <c r="C149" s="4">
        <v>58</v>
      </c>
      <c r="D149" s="8">
        <v>1.67</v>
      </c>
      <c r="E149" s="4">
        <v>46</v>
      </c>
      <c r="F149" s="8">
        <v>2.75</v>
      </c>
      <c r="G149" s="4">
        <v>12</v>
      </c>
      <c r="H149" s="8">
        <v>0.66</v>
      </c>
      <c r="I149" s="4">
        <v>0</v>
      </c>
    </row>
    <row r="150" spans="1:9" x14ac:dyDescent="0.15">
      <c r="A150" s="2">
        <v>15</v>
      </c>
      <c r="B150" s="1" t="s">
        <v>173</v>
      </c>
      <c r="C150" s="4">
        <v>52</v>
      </c>
      <c r="D150" s="8">
        <v>1.49</v>
      </c>
      <c r="E150" s="4">
        <v>40</v>
      </c>
      <c r="F150" s="8">
        <v>2.39</v>
      </c>
      <c r="G150" s="4">
        <v>12</v>
      </c>
      <c r="H150" s="8">
        <v>0.66</v>
      </c>
      <c r="I150" s="4">
        <v>0</v>
      </c>
    </row>
    <row r="151" spans="1:9" x14ac:dyDescent="0.15">
      <c r="A151" s="2">
        <v>16</v>
      </c>
      <c r="B151" s="1" t="s">
        <v>149</v>
      </c>
      <c r="C151" s="4">
        <v>51</v>
      </c>
      <c r="D151" s="8">
        <v>1.47</v>
      </c>
      <c r="E151" s="4">
        <v>4</v>
      </c>
      <c r="F151" s="8">
        <v>0.24</v>
      </c>
      <c r="G151" s="4">
        <v>47</v>
      </c>
      <c r="H151" s="8">
        <v>2.6</v>
      </c>
      <c r="I151" s="4">
        <v>0</v>
      </c>
    </row>
    <row r="152" spans="1:9" x14ac:dyDescent="0.15">
      <c r="A152" s="2">
        <v>17</v>
      </c>
      <c r="B152" s="1" t="s">
        <v>140</v>
      </c>
      <c r="C152" s="4">
        <v>50</v>
      </c>
      <c r="D152" s="8">
        <v>1.44</v>
      </c>
      <c r="E152" s="4">
        <v>2</v>
      </c>
      <c r="F152" s="8">
        <v>0.12</v>
      </c>
      <c r="G152" s="4">
        <v>48</v>
      </c>
      <c r="H152" s="8">
        <v>2.65</v>
      </c>
      <c r="I152" s="4">
        <v>0</v>
      </c>
    </row>
    <row r="153" spans="1:9" x14ac:dyDescent="0.15">
      <c r="A153" s="2">
        <v>18</v>
      </c>
      <c r="B153" s="1" t="s">
        <v>139</v>
      </c>
      <c r="C153" s="4">
        <v>49</v>
      </c>
      <c r="D153" s="8">
        <v>1.41</v>
      </c>
      <c r="E153" s="4">
        <v>4</v>
      </c>
      <c r="F153" s="8">
        <v>0.24</v>
      </c>
      <c r="G153" s="4">
        <v>45</v>
      </c>
      <c r="H153" s="8">
        <v>2.4900000000000002</v>
      </c>
      <c r="I153" s="4">
        <v>0</v>
      </c>
    </row>
    <row r="154" spans="1:9" x14ac:dyDescent="0.15">
      <c r="A154" s="2">
        <v>19</v>
      </c>
      <c r="B154" s="1" t="s">
        <v>158</v>
      </c>
      <c r="C154" s="4">
        <v>48</v>
      </c>
      <c r="D154" s="8">
        <v>1.38</v>
      </c>
      <c r="E154" s="4">
        <v>7</v>
      </c>
      <c r="F154" s="8">
        <v>0.42</v>
      </c>
      <c r="G154" s="4">
        <v>41</v>
      </c>
      <c r="H154" s="8">
        <v>2.27</v>
      </c>
      <c r="I154" s="4">
        <v>0</v>
      </c>
    </row>
    <row r="155" spans="1:9" x14ac:dyDescent="0.15">
      <c r="A155" s="2">
        <v>20</v>
      </c>
      <c r="B155" s="1" t="s">
        <v>171</v>
      </c>
      <c r="C155" s="4">
        <v>47</v>
      </c>
      <c r="D155" s="8">
        <v>1.35</v>
      </c>
      <c r="E155" s="4">
        <v>9</v>
      </c>
      <c r="F155" s="8">
        <v>0.54</v>
      </c>
      <c r="G155" s="4">
        <v>38</v>
      </c>
      <c r="H155" s="8">
        <v>2.1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148</v>
      </c>
      <c r="C158" s="4">
        <v>218</v>
      </c>
      <c r="D158" s="8">
        <v>7.55</v>
      </c>
      <c r="E158" s="4">
        <v>167</v>
      </c>
      <c r="F158" s="8">
        <v>12.18</v>
      </c>
      <c r="G158" s="4">
        <v>51</v>
      </c>
      <c r="H158" s="8">
        <v>3.36</v>
      </c>
      <c r="I158" s="4">
        <v>0</v>
      </c>
    </row>
    <row r="159" spans="1:9" x14ac:dyDescent="0.15">
      <c r="A159" s="2">
        <v>2</v>
      </c>
      <c r="B159" s="1" t="s">
        <v>155</v>
      </c>
      <c r="C159" s="4">
        <v>140</v>
      </c>
      <c r="D159" s="8">
        <v>4.8499999999999996</v>
      </c>
      <c r="E159" s="4">
        <v>119</v>
      </c>
      <c r="F159" s="8">
        <v>8.68</v>
      </c>
      <c r="G159" s="4">
        <v>21</v>
      </c>
      <c r="H159" s="8">
        <v>1.38</v>
      </c>
      <c r="I159" s="4">
        <v>0</v>
      </c>
    </row>
    <row r="160" spans="1:9" x14ac:dyDescent="0.15">
      <c r="A160" s="2">
        <v>3</v>
      </c>
      <c r="B160" s="1" t="s">
        <v>151</v>
      </c>
      <c r="C160" s="4">
        <v>87</v>
      </c>
      <c r="D160" s="8">
        <v>3.01</v>
      </c>
      <c r="E160" s="4">
        <v>79</v>
      </c>
      <c r="F160" s="8">
        <v>5.76</v>
      </c>
      <c r="G160" s="4">
        <v>8</v>
      </c>
      <c r="H160" s="8">
        <v>0.53</v>
      </c>
      <c r="I160" s="4">
        <v>0</v>
      </c>
    </row>
    <row r="161" spans="1:9" x14ac:dyDescent="0.15">
      <c r="A161" s="2">
        <v>4</v>
      </c>
      <c r="B161" s="1" t="s">
        <v>154</v>
      </c>
      <c r="C161" s="4">
        <v>85</v>
      </c>
      <c r="D161" s="8">
        <v>2.94</v>
      </c>
      <c r="E161" s="4">
        <v>82</v>
      </c>
      <c r="F161" s="8">
        <v>5.98</v>
      </c>
      <c r="G161" s="4">
        <v>3</v>
      </c>
      <c r="H161" s="8">
        <v>0.2</v>
      </c>
      <c r="I161" s="4">
        <v>0</v>
      </c>
    </row>
    <row r="162" spans="1:9" x14ac:dyDescent="0.15">
      <c r="A162" s="2">
        <v>5</v>
      </c>
      <c r="B162" s="1" t="s">
        <v>150</v>
      </c>
      <c r="C162" s="4">
        <v>84</v>
      </c>
      <c r="D162" s="8">
        <v>2.91</v>
      </c>
      <c r="E162" s="4">
        <v>63</v>
      </c>
      <c r="F162" s="8">
        <v>4.5999999999999996</v>
      </c>
      <c r="G162" s="4">
        <v>21</v>
      </c>
      <c r="H162" s="8">
        <v>1.38</v>
      </c>
      <c r="I162" s="4">
        <v>0</v>
      </c>
    </row>
    <row r="163" spans="1:9" x14ac:dyDescent="0.15">
      <c r="A163" s="2">
        <v>6</v>
      </c>
      <c r="B163" s="1" t="s">
        <v>143</v>
      </c>
      <c r="C163" s="4">
        <v>76</v>
      </c>
      <c r="D163" s="8">
        <v>2.63</v>
      </c>
      <c r="E163" s="4">
        <v>40</v>
      </c>
      <c r="F163" s="8">
        <v>2.92</v>
      </c>
      <c r="G163" s="4">
        <v>36</v>
      </c>
      <c r="H163" s="8">
        <v>2.37</v>
      </c>
      <c r="I163" s="4">
        <v>0</v>
      </c>
    </row>
    <row r="164" spans="1:9" x14ac:dyDescent="0.15">
      <c r="A164" s="2">
        <v>7</v>
      </c>
      <c r="B164" s="1" t="s">
        <v>157</v>
      </c>
      <c r="C164" s="4">
        <v>75</v>
      </c>
      <c r="D164" s="8">
        <v>2.6</v>
      </c>
      <c r="E164" s="4">
        <v>65</v>
      </c>
      <c r="F164" s="8">
        <v>4.74</v>
      </c>
      <c r="G164" s="4">
        <v>10</v>
      </c>
      <c r="H164" s="8">
        <v>0.66</v>
      </c>
      <c r="I164" s="4">
        <v>0</v>
      </c>
    </row>
    <row r="165" spans="1:9" x14ac:dyDescent="0.15">
      <c r="A165" s="2">
        <v>8</v>
      </c>
      <c r="B165" s="1" t="s">
        <v>152</v>
      </c>
      <c r="C165" s="4">
        <v>70</v>
      </c>
      <c r="D165" s="8">
        <v>2.42</v>
      </c>
      <c r="E165" s="4">
        <v>67</v>
      </c>
      <c r="F165" s="8">
        <v>4.8899999999999997</v>
      </c>
      <c r="G165" s="4">
        <v>3</v>
      </c>
      <c r="H165" s="8">
        <v>0.2</v>
      </c>
      <c r="I165" s="4">
        <v>0</v>
      </c>
    </row>
    <row r="166" spans="1:9" x14ac:dyDescent="0.15">
      <c r="A166" s="2">
        <v>9</v>
      </c>
      <c r="B166" s="1" t="s">
        <v>141</v>
      </c>
      <c r="C166" s="4">
        <v>61</v>
      </c>
      <c r="D166" s="8">
        <v>2.11</v>
      </c>
      <c r="E166" s="4">
        <v>2</v>
      </c>
      <c r="F166" s="8">
        <v>0.15</v>
      </c>
      <c r="G166" s="4">
        <v>59</v>
      </c>
      <c r="H166" s="8">
        <v>3.89</v>
      </c>
      <c r="I166" s="4">
        <v>0</v>
      </c>
    </row>
    <row r="167" spans="1:9" x14ac:dyDescent="0.15">
      <c r="A167" s="2">
        <v>10</v>
      </c>
      <c r="B167" s="1" t="s">
        <v>145</v>
      </c>
      <c r="C167" s="4">
        <v>60</v>
      </c>
      <c r="D167" s="8">
        <v>2.08</v>
      </c>
      <c r="E167" s="4">
        <v>34</v>
      </c>
      <c r="F167" s="8">
        <v>2.48</v>
      </c>
      <c r="G167" s="4">
        <v>26</v>
      </c>
      <c r="H167" s="8">
        <v>1.71</v>
      </c>
      <c r="I167" s="4">
        <v>0</v>
      </c>
    </row>
    <row r="168" spans="1:9" x14ac:dyDescent="0.15">
      <c r="A168" s="2">
        <v>11</v>
      </c>
      <c r="B168" s="1" t="s">
        <v>146</v>
      </c>
      <c r="C168" s="4">
        <v>58</v>
      </c>
      <c r="D168" s="8">
        <v>2.0099999999999998</v>
      </c>
      <c r="E168" s="4">
        <v>4</v>
      </c>
      <c r="F168" s="8">
        <v>0.28999999999999998</v>
      </c>
      <c r="G168" s="4">
        <v>54</v>
      </c>
      <c r="H168" s="8">
        <v>3.56</v>
      </c>
      <c r="I168" s="4">
        <v>0</v>
      </c>
    </row>
    <row r="169" spans="1:9" x14ac:dyDescent="0.15">
      <c r="A169" s="2">
        <v>12</v>
      </c>
      <c r="B169" s="1" t="s">
        <v>156</v>
      </c>
      <c r="C169" s="4">
        <v>56</v>
      </c>
      <c r="D169" s="8">
        <v>1.94</v>
      </c>
      <c r="E169" s="4">
        <v>39</v>
      </c>
      <c r="F169" s="8">
        <v>2.84</v>
      </c>
      <c r="G169" s="4">
        <v>17</v>
      </c>
      <c r="H169" s="8">
        <v>1.1200000000000001</v>
      </c>
      <c r="I169" s="4">
        <v>0</v>
      </c>
    </row>
    <row r="170" spans="1:9" x14ac:dyDescent="0.15">
      <c r="A170" s="2">
        <v>13</v>
      </c>
      <c r="B170" s="1" t="s">
        <v>153</v>
      </c>
      <c r="C170" s="4">
        <v>53</v>
      </c>
      <c r="D170" s="8">
        <v>1.83</v>
      </c>
      <c r="E170" s="4">
        <v>34</v>
      </c>
      <c r="F170" s="8">
        <v>2.48</v>
      </c>
      <c r="G170" s="4">
        <v>19</v>
      </c>
      <c r="H170" s="8">
        <v>1.25</v>
      </c>
      <c r="I170" s="4">
        <v>0</v>
      </c>
    </row>
    <row r="171" spans="1:9" x14ac:dyDescent="0.15">
      <c r="A171" s="2">
        <v>14</v>
      </c>
      <c r="B171" s="1" t="s">
        <v>140</v>
      </c>
      <c r="C171" s="4">
        <v>52</v>
      </c>
      <c r="D171" s="8">
        <v>1.8</v>
      </c>
      <c r="E171" s="4">
        <v>8</v>
      </c>
      <c r="F171" s="8">
        <v>0.57999999999999996</v>
      </c>
      <c r="G171" s="4">
        <v>44</v>
      </c>
      <c r="H171" s="8">
        <v>2.9</v>
      </c>
      <c r="I171" s="4">
        <v>0</v>
      </c>
    </row>
    <row r="172" spans="1:9" x14ac:dyDescent="0.15">
      <c r="A172" s="2">
        <v>15</v>
      </c>
      <c r="B172" s="1" t="s">
        <v>139</v>
      </c>
      <c r="C172" s="4">
        <v>45</v>
      </c>
      <c r="D172" s="8">
        <v>1.56</v>
      </c>
      <c r="E172" s="4">
        <v>7</v>
      </c>
      <c r="F172" s="8">
        <v>0.51</v>
      </c>
      <c r="G172" s="4">
        <v>38</v>
      </c>
      <c r="H172" s="8">
        <v>2.5</v>
      </c>
      <c r="I172" s="4">
        <v>0</v>
      </c>
    </row>
    <row r="173" spans="1:9" x14ac:dyDescent="0.15">
      <c r="A173" s="2">
        <v>16</v>
      </c>
      <c r="B173" s="1" t="s">
        <v>174</v>
      </c>
      <c r="C173" s="4">
        <v>42</v>
      </c>
      <c r="D173" s="8">
        <v>1.45</v>
      </c>
      <c r="E173" s="4">
        <v>9</v>
      </c>
      <c r="F173" s="8">
        <v>0.66</v>
      </c>
      <c r="G173" s="4">
        <v>33</v>
      </c>
      <c r="H173" s="8">
        <v>2.17</v>
      </c>
      <c r="I173" s="4">
        <v>0</v>
      </c>
    </row>
    <row r="174" spans="1:9" x14ac:dyDescent="0.15">
      <c r="A174" s="2">
        <v>16</v>
      </c>
      <c r="B174" s="1" t="s">
        <v>158</v>
      </c>
      <c r="C174" s="4">
        <v>42</v>
      </c>
      <c r="D174" s="8">
        <v>1.45</v>
      </c>
      <c r="E174" s="4">
        <v>2</v>
      </c>
      <c r="F174" s="8">
        <v>0.15</v>
      </c>
      <c r="G174" s="4">
        <v>40</v>
      </c>
      <c r="H174" s="8">
        <v>2.64</v>
      </c>
      <c r="I174" s="4">
        <v>0</v>
      </c>
    </row>
    <row r="175" spans="1:9" x14ac:dyDescent="0.15">
      <c r="A175" s="2">
        <v>16</v>
      </c>
      <c r="B175" s="1" t="s">
        <v>163</v>
      </c>
      <c r="C175" s="4">
        <v>42</v>
      </c>
      <c r="D175" s="8">
        <v>1.45</v>
      </c>
      <c r="E175" s="4">
        <v>38</v>
      </c>
      <c r="F175" s="8">
        <v>2.77</v>
      </c>
      <c r="G175" s="4">
        <v>4</v>
      </c>
      <c r="H175" s="8">
        <v>0.26</v>
      </c>
      <c r="I175" s="4">
        <v>0</v>
      </c>
    </row>
    <row r="176" spans="1:9" x14ac:dyDescent="0.15">
      <c r="A176" s="2">
        <v>19</v>
      </c>
      <c r="B176" s="1" t="s">
        <v>144</v>
      </c>
      <c r="C176" s="4">
        <v>40</v>
      </c>
      <c r="D176" s="8">
        <v>1.38</v>
      </c>
      <c r="E176" s="4">
        <v>16</v>
      </c>
      <c r="F176" s="8">
        <v>1.17</v>
      </c>
      <c r="G176" s="4">
        <v>24</v>
      </c>
      <c r="H176" s="8">
        <v>1.58</v>
      </c>
      <c r="I176" s="4">
        <v>0</v>
      </c>
    </row>
    <row r="177" spans="1:9" x14ac:dyDescent="0.15">
      <c r="A177" s="2">
        <v>20</v>
      </c>
      <c r="B177" s="1" t="s">
        <v>161</v>
      </c>
      <c r="C177" s="4">
        <v>37</v>
      </c>
      <c r="D177" s="8">
        <v>1.28</v>
      </c>
      <c r="E177" s="4">
        <v>17</v>
      </c>
      <c r="F177" s="8">
        <v>1.24</v>
      </c>
      <c r="G177" s="4">
        <v>20</v>
      </c>
      <c r="H177" s="8">
        <v>1.32</v>
      </c>
      <c r="I177" s="4">
        <v>0</v>
      </c>
    </row>
    <row r="178" spans="1:9" x14ac:dyDescent="0.15">
      <c r="A178" s="2">
        <v>20</v>
      </c>
      <c r="B178" s="1" t="s">
        <v>175</v>
      </c>
      <c r="C178" s="4">
        <v>37</v>
      </c>
      <c r="D178" s="8">
        <v>1.28</v>
      </c>
      <c r="E178" s="4">
        <v>26</v>
      </c>
      <c r="F178" s="8">
        <v>1.9</v>
      </c>
      <c r="G178" s="4">
        <v>11</v>
      </c>
      <c r="H178" s="8">
        <v>0.72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148</v>
      </c>
      <c r="C181" s="4">
        <v>135</v>
      </c>
      <c r="D181" s="8">
        <v>5.95</v>
      </c>
      <c r="E181" s="4">
        <v>85</v>
      </c>
      <c r="F181" s="8">
        <v>8.6999999999999993</v>
      </c>
      <c r="G181" s="4">
        <v>50</v>
      </c>
      <c r="H181" s="8">
        <v>3.89</v>
      </c>
      <c r="I181" s="4">
        <v>0</v>
      </c>
    </row>
    <row r="182" spans="1:9" x14ac:dyDescent="0.15">
      <c r="A182" s="2">
        <v>2</v>
      </c>
      <c r="B182" s="1" t="s">
        <v>155</v>
      </c>
      <c r="C182" s="4">
        <v>107</v>
      </c>
      <c r="D182" s="8">
        <v>4.72</v>
      </c>
      <c r="E182" s="4">
        <v>84</v>
      </c>
      <c r="F182" s="8">
        <v>8.6</v>
      </c>
      <c r="G182" s="4">
        <v>23</v>
      </c>
      <c r="H182" s="8">
        <v>1.79</v>
      </c>
      <c r="I182" s="4">
        <v>0</v>
      </c>
    </row>
    <row r="183" spans="1:9" x14ac:dyDescent="0.15">
      <c r="A183" s="2">
        <v>3</v>
      </c>
      <c r="B183" s="1" t="s">
        <v>151</v>
      </c>
      <c r="C183" s="4">
        <v>92</v>
      </c>
      <c r="D183" s="8">
        <v>4.05</v>
      </c>
      <c r="E183" s="4">
        <v>83</v>
      </c>
      <c r="F183" s="8">
        <v>8.5</v>
      </c>
      <c r="G183" s="4">
        <v>9</v>
      </c>
      <c r="H183" s="8">
        <v>0.7</v>
      </c>
      <c r="I183" s="4">
        <v>0</v>
      </c>
    </row>
    <row r="184" spans="1:9" x14ac:dyDescent="0.15">
      <c r="A184" s="2">
        <v>4</v>
      </c>
      <c r="B184" s="1" t="s">
        <v>149</v>
      </c>
      <c r="C184" s="4">
        <v>77</v>
      </c>
      <c r="D184" s="8">
        <v>3.39</v>
      </c>
      <c r="E184" s="4">
        <v>1</v>
      </c>
      <c r="F184" s="8">
        <v>0.1</v>
      </c>
      <c r="G184" s="4">
        <v>75</v>
      </c>
      <c r="H184" s="8">
        <v>5.83</v>
      </c>
      <c r="I184" s="4">
        <v>1</v>
      </c>
    </row>
    <row r="185" spans="1:9" x14ac:dyDescent="0.15">
      <c r="A185" s="2">
        <v>5</v>
      </c>
      <c r="B185" s="1" t="s">
        <v>150</v>
      </c>
      <c r="C185" s="4">
        <v>63</v>
      </c>
      <c r="D185" s="8">
        <v>2.78</v>
      </c>
      <c r="E185" s="4">
        <v>44</v>
      </c>
      <c r="F185" s="8">
        <v>4.5</v>
      </c>
      <c r="G185" s="4">
        <v>19</v>
      </c>
      <c r="H185" s="8">
        <v>1.48</v>
      </c>
      <c r="I185" s="4">
        <v>0</v>
      </c>
    </row>
    <row r="186" spans="1:9" x14ac:dyDescent="0.15">
      <c r="A186" s="2">
        <v>5</v>
      </c>
      <c r="B186" s="1" t="s">
        <v>154</v>
      </c>
      <c r="C186" s="4">
        <v>63</v>
      </c>
      <c r="D186" s="8">
        <v>2.78</v>
      </c>
      <c r="E186" s="4">
        <v>51</v>
      </c>
      <c r="F186" s="8">
        <v>5.22</v>
      </c>
      <c r="G186" s="4">
        <v>12</v>
      </c>
      <c r="H186" s="8">
        <v>0.93</v>
      </c>
      <c r="I186" s="4">
        <v>0</v>
      </c>
    </row>
    <row r="187" spans="1:9" x14ac:dyDescent="0.15">
      <c r="A187" s="2">
        <v>7</v>
      </c>
      <c r="B187" s="1" t="s">
        <v>156</v>
      </c>
      <c r="C187" s="4">
        <v>61</v>
      </c>
      <c r="D187" s="8">
        <v>2.69</v>
      </c>
      <c r="E187" s="4">
        <v>50</v>
      </c>
      <c r="F187" s="8">
        <v>5.12</v>
      </c>
      <c r="G187" s="4">
        <v>11</v>
      </c>
      <c r="H187" s="8">
        <v>0.85</v>
      </c>
      <c r="I187" s="4">
        <v>0</v>
      </c>
    </row>
    <row r="188" spans="1:9" x14ac:dyDescent="0.15">
      <c r="A188" s="2">
        <v>8</v>
      </c>
      <c r="B188" s="1" t="s">
        <v>157</v>
      </c>
      <c r="C188" s="4">
        <v>56</v>
      </c>
      <c r="D188" s="8">
        <v>2.4700000000000002</v>
      </c>
      <c r="E188" s="4">
        <v>48</v>
      </c>
      <c r="F188" s="8">
        <v>4.91</v>
      </c>
      <c r="G188" s="4">
        <v>8</v>
      </c>
      <c r="H188" s="8">
        <v>0.62</v>
      </c>
      <c r="I188" s="4">
        <v>0</v>
      </c>
    </row>
    <row r="189" spans="1:9" x14ac:dyDescent="0.15">
      <c r="A189" s="2">
        <v>9</v>
      </c>
      <c r="B189" s="1" t="s">
        <v>153</v>
      </c>
      <c r="C189" s="4">
        <v>55</v>
      </c>
      <c r="D189" s="8">
        <v>2.42</v>
      </c>
      <c r="E189" s="4">
        <v>30</v>
      </c>
      <c r="F189" s="8">
        <v>3.07</v>
      </c>
      <c r="G189" s="4">
        <v>25</v>
      </c>
      <c r="H189" s="8">
        <v>1.94</v>
      </c>
      <c r="I189" s="4">
        <v>0</v>
      </c>
    </row>
    <row r="190" spans="1:9" x14ac:dyDescent="0.15">
      <c r="A190" s="2">
        <v>10</v>
      </c>
      <c r="B190" s="1" t="s">
        <v>152</v>
      </c>
      <c r="C190" s="4">
        <v>52</v>
      </c>
      <c r="D190" s="8">
        <v>2.29</v>
      </c>
      <c r="E190" s="4">
        <v>48</v>
      </c>
      <c r="F190" s="8">
        <v>4.91</v>
      </c>
      <c r="G190" s="4">
        <v>4</v>
      </c>
      <c r="H190" s="8">
        <v>0.31</v>
      </c>
      <c r="I190" s="4">
        <v>0</v>
      </c>
    </row>
    <row r="191" spans="1:9" x14ac:dyDescent="0.15">
      <c r="A191" s="2">
        <v>11</v>
      </c>
      <c r="B191" s="1" t="s">
        <v>145</v>
      </c>
      <c r="C191" s="4">
        <v>46</v>
      </c>
      <c r="D191" s="8">
        <v>2.0299999999999998</v>
      </c>
      <c r="E191" s="4">
        <v>30</v>
      </c>
      <c r="F191" s="8">
        <v>3.07</v>
      </c>
      <c r="G191" s="4">
        <v>16</v>
      </c>
      <c r="H191" s="8">
        <v>1.24</v>
      </c>
      <c r="I191" s="4">
        <v>0</v>
      </c>
    </row>
    <row r="192" spans="1:9" x14ac:dyDescent="0.15">
      <c r="A192" s="2">
        <v>12</v>
      </c>
      <c r="B192" s="1" t="s">
        <v>141</v>
      </c>
      <c r="C192" s="4">
        <v>43</v>
      </c>
      <c r="D192" s="8">
        <v>1.9</v>
      </c>
      <c r="E192" s="4">
        <v>4</v>
      </c>
      <c r="F192" s="8">
        <v>0.41</v>
      </c>
      <c r="G192" s="4">
        <v>39</v>
      </c>
      <c r="H192" s="8">
        <v>3.03</v>
      </c>
      <c r="I192" s="4">
        <v>0</v>
      </c>
    </row>
    <row r="193" spans="1:9" x14ac:dyDescent="0.15">
      <c r="A193" s="2">
        <v>13</v>
      </c>
      <c r="B193" s="1" t="s">
        <v>158</v>
      </c>
      <c r="C193" s="4">
        <v>39</v>
      </c>
      <c r="D193" s="8">
        <v>1.72</v>
      </c>
      <c r="E193" s="4">
        <v>2</v>
      </c>
      <c r="F193" s="8">
        <v>0.2</v>
      </c>
      <c r="G193" s="4">
        <v>37</v>
      </c>
      <c r="H193" s="8">
        <v>2.87</v>
      </c>
      <c r="I193" s="4">
        <v>0</v>
      </c>
    </row>
    <row r="194" spans="1:9" x14ac:dyDescent="0.15">
      <c r="A194" s="2">
        <v>14</v>
      </c>
      <c r="B194" s="1" t="s">
        <v>143</v>
      </c>
      <c r="C194" s="4">
        <v>38</v>
      </c>
      <c r="D194" s="8">
        <v>1.67</v>
      </c>
      <c r="E194" s="4">
        <v>21</v>
      </c>
      <c r="F194" s="8">
        <v>2.15</v>
      </c>
      <c r="G194" s="4">
        <v>17</v>
      </c>
      <c r="H194" s="8">
        <v>1.32</v>
      </c>
      <c r="I194" s="4">
        <v>0</v>
      </c>
    </row>
    <row r="195" spans="1:9" x14ac:dyDescent="0.15">
      <c r="A195" s="2">
        <v>15</v>
      </c>
      <c r="B195" s="1" t="s">
        <v>161</v>
      </c>
      <c r="C195" s="4">
        <v>37</v>
      </c>
      <c r="D195" s="8">
        <v>1.63</v>
      </c>
      <c r="E195" s="4">
        <v>5</v>
      </c>
      <c r="F195" s="8">
        <v>0.51</v>
      </c>
      <c r="G195" s="4">
        <v>32</v>
      </c>
      <c r="H195" s="8">
        <v>2.4900000000000002</v>
      </c>
      <c r="I195" s="4">
        <v>0</v>
      </c>
    </row>
    <row r="196" spans="1:9" x14ac:dyDescent="0.15">
      <c r="A196" s="2">
        <v>16</v>
      </c>
      <c r="B196" s="1" t="s">
        <v>140</v>
      </c>
      <c r="C196" s="4">
        <v>35</v>
      </c>
      <c r="D196" s="8">
        <v>1.54</v>
      </c>
      <c r="E196" s="4">
        <v>5</v>
      </c>
      <c r="F196" s="8">
        <v>0.51</v>
      </c>
      <c r="G196" s="4">
        <v>30</v>
      </c>
      <c r="H196" s="8">
        <v>2.33</v>
      </c>
      <c r="I196" s="4">
        <v>0</v>
      </c>
    </row>
    <row r="197" spans="1:9" x14ac:dyDescent="0.15">
      <c r="A197" s="2">
        <v>17</v>
      </c>
      <c r="B197" s="1" t="s">
        <v>146</v>
      </c>
      <c r="C197" s="4">
        <v>34</v>
      </c>
      <c r="D197" s="8">
        <v>1.5</v>
      </c>
      <c r="E197" s="4">
        <v>3</v>
      </c>
      <c r="F197" s="8">
        <v>0.31</v>
      </c>
      <c r="G197" s="4">
        <v>31</v>
      </c>
      <c r="H197" s="8">
        <v>2.41</v>
      </c>
      <c r="I197" s="4">
        <v>0</v>
      </c>
    </row>
    <row r="198" spans="1:9" x14ac:dyDescent="0.15">
      <c r="A198" s="2">
        <v>18</v>
      </c>
      <c r="B198" s="1" t="s">
        <v>166</v>
      </c>
      <c r="C198" s="4">
        <v>31</v>
      </c>
      <c r="D198" s="8">
        <v>1.37</v>
      </c>
      <c r="E198" s="4">
        <v>19</v>
      </c>
      <c r="F198" s="8">
        <v>1.94</v>
      </c>
      <c r="G198" s="4">
        <v>12</v>
      </c>
      <c r="H198" s="8">
        <v>0.93</v>
      </c>
      <c r="I198" s="4">
        <v>0</v>
      </c>
    </row>
    <row r="199" spans="1:9" x14ac:dyDescent="0.15">
      <c r="A199" s="2">
        <v>18</v>
      </c>
      <c r="B199" s="1" t="s">
        <v>163</v>
      </c>
      <c r="C199" s="4">
        <v>31</v>
      </c>
      <c r="D199" s="8">
        <v>1.37</v>
      </c>
      <c r="E199" s="4">
        <v>28</v>
      </c>
      <c r="F199" s="8">
        <v>2.87</v>
      </c>
      <c r="G199" s="4">
        <v>3</v>
      </c>
      <c r="H199" s="8">
        <v>0.23</v>
      </c>
      <c r="I199" s="4">
        <v>0</v>
      </c>
    </row>
    <row r="200" spans="1:9" x14ac:dyDescent="0.15">
      <c r="A200" s="2">
        <v>20</v>
      </c>
      <c r="B200" s="1" t="s">
        <v>159</v>
      </c>
      <c r="C200" s="4">
        <v>29</v>
      </c>
      <c r="D200" s="8">
        <v>1.28</v>
      </c>
      <c r="E200" s="4">
        <v>9</v>
      </c>
      <c r="F200" s="8">
        <v>0.92</v>
      </c>
      <c r="G200" s="4">
        <v>20</v>
      </c>
      <c r="H200" s="8">
        <v>1.55</v>
      </c>
      <c r="I200" s="4">
        <v>0</v>
      </c>
    </row>
    <row r="201" spans="1:9" x14ac:dyDescent="0.15">
      <c r="A201" s="1"/>
      <c r="C201" s="4"/>
      <c r="D201" s="8"/>
      <c r="E201" s="4"/>
      <c r="F201" s="8"/>
      <c r="G201" s="4"/>
      <c r="H201" s="8"/>
      <c r="I201" s="4"/>
    </row>
    <row r="202" spans="1:9" x14ac:dyDescent="0.15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15">
      <c r="A203" s="2">
        <v>1</v>
      </c>
      <c r="B203" s="1" t="s">
        <v>148</v>
      </c>
      <c r="C203" s="4">
        <v>234</v>
      </c>
      <c r="D203" s="8">
        <v>9.1</v>
      </c>
      <c r="E203" s="4">
        <v>189</v>
      </c>
      <c r="F203" s="8">
        <v>17.12</v>
      </c>
      <c r="G203" s="4">
        <v>45</v>
      </c>
      <c r="H203" s="8">
        <v>3.07</v>
      </c>
      <c r="I203" s="4">
        <v>0</v>
      </c>
    </row>
    <row r="204" spans="1:9" x14ac:dyDescent="0.15">
      <c r="A204" s="2">
        <v>2</v>
      </c>
      <c r="B204" s="1" t="s">
        <v>155</v>
      </c>
      <c r="C204" s="4">
        <v>142</v>
      </c>
      <c r="D204" s="8">
        <v>5.52</v>
      </c>
      <c r="E204" s="4">
        <v>109</v>
      </c>
      <c r="F204" s="8">
        <v>9.8699999999999992</v>
      </c>
      <c r="G204" s="4">
        <v>33</v>
      </c>
      <c r="H204" s="8">
        <v>2.25</v>
      </c>
      <c r="I204" s="4">
        <v>0</v>
      </c>
    </row>
    <row r="205" spans="1:9" x14ac:dyDescent="0.15">
      <c r="A205" s="2">
        <v>3</v>
      </c>
      <c r="B205" s="1" t="s">
        <v>157</v>
      </c>
      <c r="C205" s="4">
        <v>77</v>
      </c>
      <c r="D205" s="8">
        <v>2.99</v>
      </c>
      <c r="E205" s="4">
        <v>67</v>
      </c>
      <c r="F205" s="8">
        <v>6.07</v>
      </c>
      <c r="G205" s="4">
        <v>10</v>
      </c>
      <c r="H205" s="8">
        <v>0.68</v>
      </c>
      <c r="I205" s="4">
        <v>0</v>
      </c>
    </row>
    <row r="206" spans="1:9" x14ac:dyDescent="0.15">
      <c r="A206" s="2">
        <v>4</v>
      </c>
      <c r="B206" s="1" t="s">
        <v>154</v>
      </c>
      <c r="C206" s="4">
        <v>70</v>
      </c>
      <c r="D206" s="8">
        <v>2.72</v>
      </c>
      <c r="E206" s="4">
        <v>62</v>
      </c>
      <c r="F206" s="8">
        <v>5.62</v>
      </c>
      <c r="G206" s="4">
        <v>8</v>
      </c>
      <c r="H206" s="8">
        <v>0.55000000000000004</v>
      </c>
      <c r="I206" s="4">
        <v>0</v>
      </c>
    </row>
    <row r="207" spans="1:9" x14ac:dyDescent="0.15">
      <c r="A207" s="2">
        <v>5</v>
      </c>
      <c r="B207" s="1" t="s">
        <v>156</v>
      </c>
      <c r="C207" s="4">
        <v>67</v>
      </c>
      <c r="D207" s="8">
        <v>2.61</v>
      </c>
      <c r="E207" s="4">
        <v>53</v>
      </c>
      <c r="F207" s="8">
        <v>4.8</v>
      </c>
      <c r="G207" s="4">
        <v>14</v>
      </c>
      <c r="H207" s="8">
        <v>0.96</v>
      </c>
      <c r="I207" s="4">
        <v>0</v>
      </c>
    </row>
    <row r="208" spans="1:9" x14ac:dyDescent="0.15">
      <c r="A208" s="2">
        <v>6</v>
      </c>
      <c r="B208" s="1" t="s">
        <v>145</v>
      </c>
      <c r="C208" s="4">
        <v>64</v>
      </c>
      <c r="D208" s="8">
        <v>2.4900000000000002</v>
      </c>
      <c r="E208" s="4">
        <v>32</v>
      </c>
      <c r="F208" s="8">
        <v>2.9</v>
      </c>
      <c r="G208" s="4">
        <v>31</v>
      </c>
      <c r="H208" s="8">
        <v>2.12</v>
      </c>
      <c r="I208" s="4">
        <v>1</v>
      </c>
    </row>
    <row r="209" spans="1:9" x14ac:dyDescent="0.15">
      <c r="A209" s="2">
        <v>7</v>
      </c>
      <c r="B209" s="1" t="s">
        <v>151</v>
      </c>
      <c r="C209" s="4">
        <v>57</v>
      </c>
      <c r="D209" s="8">
        <v>2.2200000000000002</v>
      </c>
      <c r="E209" s="4">
        <v>49</v>
      </c>
      <c r="F209" s="8">
        <v>4.4400000000000004</v>
      </c>
      <c r="G209" s="4">
        <v>8</v>
      </c>
      <c r="H209" s="8">
        <v>0.55000000000000004</v>
      </c>
      <c r="I209" s="4">
        <v>0</v>
      </c>
    </row>
    <row r="210" spans="1:9" x14ac:dyDescent="0.15">
      <c r="A210" s="2">
        <v>8</v>
      </c>
      <c r="B210" s="1" t="s">
        <v>153</v>
      </c>
      <c r="C210" s="4">
        <v>56</v>
      </c>
      <c r="D210" s="8">
        <v>2.1800000000000002</v>
      </c>
      <c r="E210" s="4">
        <v>25</v>
      </c>
      <c r="F210" s="8">
        <v>2.2599999999999998</v>
      </c>
      <c r="G210" s="4">
        <v>31</v>
      </c>
      <c r="H210" s="8">
        <v>2.12</v>
      </c>
      <c r="I210" s="4">
        <v>0</v>
      </c>
    </row>
    <row r="211" spans="1:9" x14ac:dyDescent="0.15">
      <c r="A211" s="2">
        <v>9</v>
      </c>
      <c r="B211" s="1" t="s">
        <v>149</v>
      </c>
      <c r="C211" s="4">
        <v>53</v>
      </c>
      <c r="D211" s="8">
        <v>2.06</v>
      </c>
      <c r="E211" s="4">
        <v>4</v>
      </c>
      <c r="F211" s="8">
        <v>0.36</v>
      </c>
      <c r="G211" s="4">
        <v>48</v>
      </c>
      <c r="H211" s="8">
        <v>3.28</v>
      </c>
      <c r="I211" s="4">
        <v>1</v>
      </c>
    </row>
    <row r="212" spans="1:9" x14ac:dyDescent="0.15">
      <c r="A212" s="2">
        <v>10</v>
      </c>
      <c r="B212" s="1" t="s">
        <v>143</v>
      </c>
      <c r="C212" s="4">
        <v>51</v>
      </c>
      <c r="D212" s="8">
        <v>1.98</v>
      </c>
      <c r="E212" s="4">
        <v>25</v>
      </c>
      <c r="F212" s="8">
        <v>2.2599999999999998</v>
      </c>
      <c r="G212" s="4">
        <v>26</v>
      </c>
      <c r="H212" s="8">
        <v>1.78</v>
      </c>
      <c r="I212" s="4">
        <v>0</v>
      </c>
    </row>
    <row r="213" spans="1:9" x14ac:dyDescent="0.15">
      <c r="A213" s="2">
        <v>11</v>
      </c>
      <c r="B213" s="1" t="s">
        <v>150</v>
      </c>
      <c r="C213" s="4">
        <v>50</v>
      </c>
      <c r="D213" s="8">
        <v>1.94</v>
      </c>
      <c r="E213" s="4">
        <v>37</v>
      </c>
      <c r="F213" s="8">
        <v>3.35</v>
      </c>
      <c r="G213" s="4">
        <v>13</v>
      </c>
      <c r="H213" s="8">
        <v>0.89</v>
      </c>
      <c r="I213" s="4">
        <v>0</v>
      </c>
    </row>
    <row r="214" spans="1:9" x14ac:dyDescent="0.15">
      <c r="A214" s="2">
        <v>12</v>
      </c>
      <c r="B214" s="1" t="s">
        <v>158</v>
      </c>
      <c r="C214" s="4">
        <v>39</v>
      </c>
      <c r="D214" s="8">
        <v>1.52</v>
      </c>
      <c r="E214" s="4">
        <v>5</v>
      </c>
      <c r="F214" s="8">
        <v>0.45</v>
      </c>
      <c r="G214" s="4">
        <v>34</v>
      </c>
      <c r="H214" s="8">
        <v>2.3199999999999998</v>
      </c>
      <c r="I214" s="4">
        <v>0</v>
      </c>
    </row>
    <row r="215" spans="1:9" x14ac:dyDescent="0.15">
      <c r="A215" s="2">
        <v>12</v>
      </c>
      <c r="B215" s="1" t="s">
        <v>163</v>
      </c>
      <c r="C215" s="4">
        <v>39</v>
      </c>
      <c r="D215" s="8">
        <v>1.52</v>
      </c>
      <c r="E215" s="4">
        <v>36</v>
      </c>
      <c r="F215" s="8">
        <v>3.26</v>
      </c>
      <c r="G215" s="4">
        <v>3</v>
      </c>
      <c r="H215" s="8">
        <v>0.2</v>
      </c>
      <c r="I215" s="4">
        <v>0</v>
      </c>
    </row>
    <row r="216" spans="1:9" x14ac:dyDescent="0.15">
      <c r="A216" s="2">
        <v>14</v>
      </c>
      <c r="B216" s="1" t="s">
        <v>142</v>
      </c>
      <c r="C216" s="4">
        <v>37</v>
      </c>
      <c r="D216" s="8">
        <v>1.44</v>
      </c>
      <c r="E216" s="4">
        <v>14</v>
      </c>
      <c r="F216" s="8">
        <v>1.27</v>
      </c>
      <c r="G216" s="4">
        <v>23</v>
      </c>
      <c r="H216" s="8">
        <v>1.57</v>
      </c>
      <c r="I216" s="4">
        <v>0</v>
      </c>
    </row>
    <row r="217" spans="1:9" x14ac:dyDescent="0.15">
      <c r="A217" s="2">
        <v>15</v>
      </c>
      <c r="B217" s="1" t="s">
        <v>146</v>
      </c>
      <c r="C217" s="4">
        <v>35</v>
      </c>
      <c r="D217" s="8">
        <v>1.36</v>
      </c>
      <c r="E217" s="4">
        <v>5</v>
      </c>
      <c r="F217" s="8">
        <v>0.45</v>
      </c>
      <c r="G217" s="4">
        <v>30</v>
      </c>
      <c r="H217" s="8">
        <v>2.0499999999999998</v>
      </c>
      <c r="I217" s="4">
        <v>0</v>
      </c>
    </row>
    <row r="218" spans="1:9" x14ac:dyDescent="0.15">
      <c r="A218" s="2">
        <v>16</v>
      </c>
      <c r="B218" s="1" t="s">
        <v>152</v>
      </c>
      <c r="C218" s="4">
        <v>34</v>
      </c>
      <c r="D218" s="8">
        <v>1.32</v>
      </c>
      <c r="E218" s="4">
        <v>31</v>
      </c>
      <c r="F218" s="8">
        <v>2.81</v>
      </c>
      <c r="G218" s="4">
        <v>3</v>
      </c>
      <c r="H218" s="8">
        <v>0.2</v>
      </c>
      <c r="I218" s="4">
        <v>0</v>
      </c>
    </row>
    <row r="219" spans="1:9" x14ac:dyDescent="0.15">
      <c r="A219" s="2">
        <v>17</v>
      </c>
      <c r="B219" s="1" t="s">
        <v>174</v>
      </c>
      <c r="C219" s="4">
        <v>33</v>
      </c>
      <c r="D219" s="8">
        <v>1.28</v>
      </c>
      <c r="E219" s="4">
        <v>9</v>
      </c>
      <c r="F219" s="8">
        <v>0.82</v>
      </c>
      <c r="G219" s="4">
        <v>24</v>
      </c>
      <c r="H219" s="8">
        <v>1.64</v>
      </c>
      <c r="I219" s="4">
        <v>0</v>
      </c>
    </row>
    <row r="220" spans="1:9" x14ac:dyDescent="0.15">
      <c r="A220" s="2">
        <v>18</v>
      </c>
      <c r="B220" s="1" t="s">
        <v>161</v>
      </c>
      <c r="C220" s="4">
        <v>31</v>
      </c>
      <c r="D220" s="8">
        <v>1.21</v>
      </c>
      <c r="E220" s="4">
        <v>8</v>
      </c>
      <c r="F220" s="8">
        <v>0.72</v>
      </c>
      <c r="G220" s="4">
        <v>23</v>
      </c>
      <c r="H220" s="8">
        <v>1.57</v>
      </c>
      <c r="I220" s="4">
        <v>0</v>
      </c>
    </row>
    <row r="221" spans="1:9" x14ac:dyDescent="0.15">
      <c r="A221" s="2">
        <v>18</v>
      </c>
      <c r="B221" s="1" t="s">
        <v>147</v>
      </c>
      <c r="C221" s="4">
        <v>31</v>
      </c>
      <c r="D221" s="8">
        <v>1.21</v>
      </c>
      <c r="E221" s="4">
        <v>12</v>
      </c>
      <c r="F221" s="8">
        <v>1.0900000000000001</v>
      </c>
      <c r="G221" s="4">
        <v>19</v>
      </c>
      <c r="H221" s="8">
        <v>1.3</v>
      </c>
      <c r="I221" s="4">
        <v>0</v>
      </c>
    </row>
    <row r="222" spans="1:9" x14ac:dyDescent="0.15">
      <c r="A222" s="2">
        <v>18</v>
      </c>
      <c r="B222" s="1" t="s">
        <v>175</v>
      </c>
      <c r="C222" s="4">
        <v>31</v>
      </c>
      <c r="D222" s="8">
        <v>1.21</v>
      </c>
      <c r="E222" s="4">
        <v>19</v>
      </c>
      <c r="F222" s="8">
        <v>1.72</v>
      </c>
      <c r="G222" s="4">
        <v>12</v>
      </c>
      <c r="H222" s="8">
        <v>0.82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148</v>
      </c>
      <c r="C225" s="4">
        <v>620</v>
      </c>
      <c r="D225" s="8">
        <v>10.34</v>
      </c>
      <c r="E225" s="4">
        <v>425</v>
      </c>
      <c r="F225" s="8">
        <v>19.07</v>
      </c>
      <c r="G225" s="4">
        <v>195</v>
      </c>
      <c r="H225" s="8">
        <v>5.18</v>
      </c>
      <c r="I225" s="4">
        <v>0</v>
      </c>
    </row>
    <row r="226" spans="1:9" x14ac:dyDescent="0.15">
      <c r="A226" s="2">
        <v>2</v>
      </c>
      <c r="B226" s="1" t="s">
        <v>155</v>
      </c>
      <c r="C226" s="4">
        <v>199</v>
      </c>
      <c r="D226" s="8">
        <v>3.32</v>
      </c>
      <c r="E226" s="4">
        <v>153</v>
      </c>
      <c r="F226" s="8">
        <v>6.86</v>
      </c>
      <c r="G226" s="4">
        <v>46</v>
      </c>
      <c r="H226" s="8">
        <v>1.22</v>
      </c>
      <c r="I226" s="4">
        <v>0</v>
      </c>
    </row>
    <row r="227" spans="1:9" x14ac:dyDescent="0.15">
      <c r="A227" s="2">
        <v>3</v>
      </c>
      <c r="B227" s="1" t="s">
        <v>149</v>
      </c>
      <c r="C227" s="4">
        <v>164</v>
      </c>
      <c r="D227" s="8">
        <v>2.73</v>
      </c>
      <c r="E227" s="4">
        <v>8</v>
      </c>
      <c r="F227" s="8">
        <v>0.36</v>
      </c>
      <c r="G227" s="4">
        <v>156</v>
      </c>
      <c r="H227" s="8">
        <v>4.1399999999999997</v>
      </c>
      <c r="I227" s="4">
        <v>0</v>
      </c>
    </row>
    <row r="228" spans="1:9" x14ac:dyDescent="0.15">
      <c r="A228" s="2">
        <v>4</v>
      </c>
      <c r="B228" s="1" t="s">
        <v>157</v>
      </c>
      <c r="C228" s="4">
        <v>150</v>
      </c>
      <c r="D228" s="8">
        <v>2.5</v>
      </c>
      <c r="E228" s="4">
        <v>116</v>
      </c>
      <c r="F228" s="8">
        <v>5.2</v>
      </c>
      <c r="G228" s="4">
        <v>34</v>
      </c>
      <c r="H228" s="8">
        <v>0.9</v>
      </c>
      <c r="I228" s="4">
        <v>0</v>
      </c>
    </row>
    <row r="229" spans="1:9" x14ac:dyDescent="0.15">
      <c r="A229" s="2">
        <v>5</v>
      </c>
      <c r="B229" s="1" t="s">
        <v>151</v>
      </c>
      <c r="C229" s="4">
        <v>137</v>
      </c>
      <c r="D229" s="8">
        <v>2.2799999999999998</v>
      </c>
      <c r="E229" s="4">
        <v>116</v>
      </c>
      <c r="F229" s="8">
        <v>5.2</v>
      </c>
      <c r="G229" s="4">
        <v>21</v>
      </c>
      <c r="H229" s="8">
        <v>0.56000000000000005</v>
      </c>
      <c r="I229" s="4">
        <v>0</v>
      </c>
    </row>
    <row r="230" spans="1:9" x14ac:dyDescent="0.15">
      <c r="A230" s="2">
        <v>6</v>
      </c>
      <c r="B230" s="1" t="s">
        <v>147</v>
      </c>
      <c r="C230" s="4">
        <v>136</v>
      </c>
      <c r="D230" s="8">
        <v>2.27</v>
      </c>
      <c r="E230" s="4">
        <v>24</v>
      </c>
      <c r="F230" s="8">
        <v>1.08</v>
      </c>
      <c r="G230" s="4">
        <v>112</v>
      </c>
      <c r="H230" s="8">
        <v>2.97</v>
      </c>
      <c r="I230" s="4">
        <v>0</v>
      </c>
    </row>
    <row r="231" spans="1:9" x14ac:dyDescent="0.15">
      <c r="A231" s="2">
        <v>7</v>
      </c>
      <c r="B231" s="1" t="s">
        <v>150</v>
      </c>
      <c r="C231" s="4">
        <v>133</v>
      </c>
      <c r="D231" s="8">
        <v>2.2200000000000002</v>
      </c>
      <c r="E231" s="4">
        <v>100</v>
      </c>
      <c r="F231" s="8">
        <v>4.49</v>
      </c>
      <c r="G231" s="4">
        <v>33</v>
      </c>
      <c r="H231" s="8">
        <v>0.88</v>
      </c>
      <c r="I231" s="4">
        <v>0</v>
      </c>
    </row>
    <row r="232" spans="1:9" x14ac:dyDescent="0.15">
      <c r="A232" s="2">
        <v>8</v>
      </c>
      <c r="B232" s="1" t="s">
        <v>145</v>
      </c>
      <c r="C232" s="4">
        <v>130</v>
      </c>
      <c r="D232" s="8">
        <v>2.17</v>
      </c>
      <c r="E232" s="4">
        <v>69</v>
      </c>
      <c r="F232" s="8">
        <v>3.1</v>
      </c>
      <c r="G232" s="4">
        <v>61</v>
      </c>
      <c r="H232" s="8">
        <v>1.62</v>
      </c>
      <c r="I232" s="4">
        <v>0</v>
      </c>
    </row>
    <row r="233" spans="1:9" x14ac:dyDescent="0.15">
      <c r="A233" s="2">
        <v>9</v>
      </c>
      <c r="B233" s="1" t="s">
        <v>146</v>
      </c>
      <c r="C233" s="4">
        <v>124</v>
      </c>
      <c r="D233" s="8">
        <v>2.0699999999999998</v>
      </c>
      <c r="E233" s="4">
        <v>11</v>
      </c>
      <c r="F233" s="8">
        <v>0.49</v>
      </c>
      <c r="G233" s="4">
        <v>113</v>
      </c>
      <c r="H233" s="8">
        <v>3</v>
      </c>
      <c r="I233" s="4">
        <v>0</v>
      </c>
    </row>
    <row r="234" spans="1:9" x14ac:dyDescent="0.15">
      <c r="A234" s="2">
        <v>10</v>
      </c>
      <c r="B234" s="1" t="s">
        <v>154</v>
      </c>
      <c r="C234" s="4">
        <v>106</v>
      </c>
      <c r="D234" s="8">
        <v>1.77</v>
      </c>
      <c r="E234" s="4">
        <v>93</v>
      </c>
      <c r="F234" s="8">
        <v>4.17</v>
      </c>
      <c r="G234" s="4">
        <v>13</v>
      </c>
      <c r="H234" s="8">
        <v>0.35</v>
      </c>
      <c r="I234" s="4">
        <v>0</v>
      </c>
    </row>
    <row r="235" spans="1:9" x14ac:dyDescent="0.15">
      <c r="A235" s="2">
        <v>10</v>
      </c>
      <c r="B235" s="1" t="s">
        <v>156</v>
      </c>
      <c r="C235" s="4">
        <v>106</v>
      </c>
      <c r="D235" s="8">
        <v>1.77</v>
      </c>
      <c r="E235" s="4">
        <v>70</v>
      </c>
      <c r="F235" s="8">
        <v>3.14</v>
      </c>
      <c r="G235" s="4">
        <v>36</v>
      </c>
      <c r="H235" s="8">
        <v>0.96</v>
      </c>
      <c r="I235" s="4">
        <v>0</v>
      </c>
    </row>
    <row r="236" spans="1:9" x14ac:dyDescent="0.15">
      <c r="A236" s="2">
        <v>12</v>
      </c>
      <c r="B236" s="1" t="s">
        <v>153</v>
      </c>
      <c r="C236" s="4">
        <v>105</v>
      </c>
      <c r="D236" s="8">
        <v>1.75</v>
      </c>
      <c r="E236" s="4">
        <v>55</v>
      </c>
      <c r="F236" s="8">
        <v>2.4700000000000002</v>
      </c>
      <c r="G236" s="4">
        <v>50</v>
      </c>
      <c r="H236" s="8">
        <v>1.33</v>
      </c>
      <c r="I236" s="4">
        <v>0</v>
      </c>
    </row>
    <row r="237" spans="1:9" x14ac:dyDescent="0.15">
      <c r="A237" s="2">
        <v>13</v>
      </c>
      <c r="B237" s="1" t="s">
        <v>152</v>
      </c>
      <c r="C237" s="4">
        <v>99</v>
      </c>
      <c r="D237" s="8">
        <v>1.65</v>
      </c>
      <c r="E237" s="4">
        <v>87</v>
      </c>
      <c r="F237" s="8">
        <v>3.9</v>
      </c>
      <c r="G237" s="4">
        <v>12</v>
      </c>
      <c r="H237" s="8">
        <v>0.32</v>
      </c>
      <c r="I237" s="4">
        <v>0</v>
      </c>
    </row>
    <row r="238" spans="1:9" x14ac:dyDescent="0.15">
      <c r="A238" s="2">
        <v>14</v>
      </c>
      <c r="B238" s="1" t="s">
        <v>143</v>
      </c>
      <c r="C238" s="4">
        <v>91</v>
      </c>
      <c r="D238" s="8">
        <v>1.52</v>
      </c>
      <c r="E238" s="4">
        <v>45</v>
      </c>
      <c r="F238" s="8">
        <v>2.02</v>
      </c>
      <c r="G238" s="4">
        <v>46</v>
      </c>
      <c r="H238" s="8">
        <v>1.22</v>
      </c>
      <c r="I238" s="4">
        <v>0</v>
      </c>
    </row>
    <row r="239" spans="1:9" x14ac:dyDescent="0.15">
      <c r="A239" s="2">
        <v>15</v>
      </c>
      <c r="B239" s="1" t="s">
        <v>176</v>
      </c>
      <c r="C239" s="4">
        <v>90</v>
      </c>
      <c r="D239" s="8">
        <v>1.5</v>
      </c>
      <c r="E239" s="4">
        <v>18</v>
      </c>
      <c r="F239" s="8">
        <v>0.81</v>
      </c>
      <c r="G239" s="4">
        <v>72</v>
      </c>
      <c r="H239" s="8">
        <v>1.91</v>
      </c>
      <c r="I239" s="4">
        <v>0</v>
      </c>
    </row>
    <row r="240" spans="1:9" x14ac:dyDescent="0.15">
      <c r="A240" s="2">
        <v>16</v>
      </c>
      <c r="B240" s="1" t="s">
        <v>141</v>
      </c>
      <c r="C240" s="4">
        <v>80</v>
      </c>
      <c r="D240" s="8">
        <v>1.33</v>
      </c>
      <c r="E240" s="4">
        <v>5</v>
      </c>
      <c r="F240" s="8">
        <v>0.22</v>
      </c>
      <c r="G240" s="4">
        <v>75</v>
      </c>
      <c r="H240" s="8">
        <v>1.99</v>
      </c>
      <c r="I240" s="4">
        <v>0</v>
      </c>
    </row>
    <row r="241" spans="1:9" x14ac:dyDescent="0.15">
      <c r="A241" s="2">
        <v>16</v>
      </c>
      <c r="B241" s="1" t="s">
        <v>163</v>
      </c>
      <c r="C241" s="4">
        <v>80</v>
      </c>
      <c r="D241" s="8">
        <v>1.33</v>
      </c>
      <c r="E241" s="4">
        <v>74</v>
      </c>
      <c r="F241" s="8">
        <v>3.32</v>
      </c>
      <c r="G241" s="4">
        <v>6</v>
      </c>
      <c r="H241" s="8">
        <v>0.16</v>
      </c>
      <c r="I241" s="4">
        <v>0</v>
      </c>
    </row>
    <row r="242" spans="1:9" x14ac:dyDescent="0.15">
      <c r="A242" s="2">
        <v>18</v>
      </c>
      <c r="B242" s="1" t="s">
        <v>140</v>
      </c>
      <c r="C242" s="4">
        <v>72</v>
      </c>
      <c r="D242" s="8">
        <v>1.2</v>
      </c>
      <c r="E242" s="4">
        <v>9</v>
      </c>
      <c r="F242" s="8">
        <v>0.4</v>
      </c>
      <c r="G242" s="4">
        <v>63</v>
      </c>
      <c r="H242" s="8">
        <v>1.67</v>
      </c>
      <c r="I242" s="4">
        <v>0</v>
      </c>
    </row>
    <row r="243" spans="1:9" x14ac:dyDescent="0.15">
      <c r="A243" s="2">
        <v>18</v>
      </c>
      <c r="B243" s="1" t="s">
        <v>177</v>
      </c>
      <c r="C243" s="4">
        <v>72</v>
      </c>
      <c r="D243" s="8">
        <v>1.2</v>
      </c>
      <c r="E243" s="4">
        <v>6</v>
      </c>
      <c r="F243" s="8">
        <v>0.27</v>
      </c>
      <c r="G243" s="4">
        <v>66</v>
      </c>
      <c r="H243" s="8">
        <v>1.75</v>
      </c>
      <c r="I243" s="4">
        <v>0</v>
      </c>
    </row>
    <row r="244" spans="1:9" x14ac:dyDescent="0.15">
      <c r="A244" s="2">
        <v>20</v>
      </c>
      <c r="B244" s="1" t="s">
        <v>144</v>
      </c>
      <c r="C244" s="4">
        <v>71</v>
      </c>
      <c r="D244" s="8">
        <v>1.18</v>
      </c>
      <c r="E244" s="4">
        <v>25</v>
      </c>
      <c r="F244" s="8">
        <v>1.1200000000000001</v>
      </c>
      <c r="G244" s="4">
        <v>46</v>
      </c>
      <c r="H244" s="8">
        <v>1.22</v>
      </c>
      <c r="I244" s="4">
        <v>0</v>
      </c>
    </row>
    <row r="245" spans="1:9" x14ac:dyDescent="0.15">
      <c r="A245" s="1"/>
      <c r="C245" s="4"/>
      <c r="D245" s="8"/>
      <c r="E245" s="4"/>
      <c r="F245" s="8"/>
      <c r="G245" s="4"/>
      <c r="H245" s="8"/>
      <c r="I245" s="4"/>
    </row>
    <row r="246" spans="1:9" x14ac:dyDescent="0.15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15">
      <c r="A247" s="2">
        <v>1</v>
      </c>
      <c r="B247" s="1" t="s">
        <v>155</v>
      </c>
      <c r="C247" s="4">
        <v>154</v>
      </c>
      <c r="D247" s="8">
        <v>5.1100000000000003</v>
      </c>
      <c r="E247" s="4">
        <v>124</v>
      </c>
      <c r="F247" s="8">
        <v>11.21</v>
      </c>
      <c r="G247" s="4">
        <v>30</v>
      </c>
      <c r="H247" s="8">
        <v>1.57</v>
      </c>
      <c r="I247" s="4">
        <v>0</v>
      </c>
    </row>
    <row r="248" spans="1:9" x14ac:dyDescent="0.15">
      <c r="A248" s="2">
        <v>2</v>
      </c>
      <c r="B248" s="1" t="s">
        <v>148</v>
      </c>
      <c r="C248" s="4">
        <v>99</v>
      </c>
      <c r="D248" s="8">
        <v>3.28</v>
      </c>
      <c r="E248" s="4">
        <v>34</v>
      </c>
      <c r="F248" s="8">
        <v>3.07</v>
      </c>
      <c r="G248" s="4">
        <v>65</v>
      </c>
      <c r="H248" s="8">
        <v>3.41</v>
      </c>
      <c r="I248" s="4">
        <v>0</v>
      </c>
    </row>
    <row r="249" spans="1:9" x14ac:dyDescent="0.15">
      <c r="A249" s="2">
        <v>3</v>
      </c>
      <c r="B249" s="1" t="s">
        <v>154</v>
      </c>
      <c r="C249" s="4">
        <v>98</v>
      </c>
      <c r="D249" s="8">
        <v>3.25</v>
      </c>
      <c r="E249" s="4">
        <v>87</v>
      </c>
      <c r="F249" s="8">
        <v>7.87</v>
      </c>
      <c r="G249" s="4">
        <v>11</v>
      </c>
      <c r="H249" s="8">
        <v>0.57999999999999996</v>
      </c>
      <c r="I249" s="4">
        <v>0</v>
      </c>
    </row>
    <row r="250" spans="1:9" x14ac:dyDescent="0.15">
      <c r="A250" s="2">
        <v>4</v>
      </c>
      <c r="B250" s="1" t="s">
        <v>149</v>
      </c>
      <c r="C250" s="4">
        <v>96</v>
      </c>
      <c r="D250" s="8">
        <v>3.18</v>
      </c>
      <c r="E250" s="4">
        <v>3</v>
      </c>
      <c r="F250" s="8">
        <v>0.27</v>
      </c>
      <c r="G250" s="4">
        <v>92</v>
      </c>
      <c r="H250" s="8">
        <v>4.83</v>
      </c>
      <c r="I250" s="4">
        <v>1</v>
      </c>
    </row>
    <row r="251" spans="1:9" x14ac:dyDescent="0.15">
      <c r="A251" s="2">
        <v>5</v>
      </c>
      <c r="B251" s="1" t="s">
        <v>156</v>
      </c>
      <c r="C251" s="4">
        <v>91</v>
      </c>
      <c r="D251" s="8">
        <v>3.02</v>
      </c>
      <c r="E251" s="4">
        <v>68</v>
      </c>
      <c r="F251" s="8">
        <v>6.15</v>
      </c>
      <c r="G251" s="4">
        <v>23</v>
      </c>
      <c r="H251" s="8">
        <v>1.21</v>
      </c>
      <c r="I251" s="4">
        <v>0</v>
      </c>
    </row>
    <row r="252" spans="1:9" x14ac:dyDescent="0.15">
      <c r="A252" s="2">
        <v>6</v>
      </c>
      <c r="B252" s="1" t="s">
        <v>151</v>
      </c>
      <c r="C252" s="4">
        <v>74</v>
      </c>
      <c r="D252" s="8">
        <v>2.4500000000000002</v>
      </c>
      <c r="E252" s="4">
        <v>68</v>
      </c>
      <c r="F252" s="8">
        <v>6.15</v>
      </c>
      <c r="G252" s="4">
        <v>6</v>
      </c>
      <c r="H252" s="8">
        <v>0.31</v>
      </c>
      <c r="I252" s="4">
        <v>0</v>
      </c>
    </row>
    <row r="253" spans="1:9" x14ac:dyDescent="0.15">
      <c r="A253" s="2">
        <v>7</v>
      </c>
      <c r="B253" s="1" t="s">
        <v>157</v>
      </c>
      <c r="C253" s="4">
        <v>68</v>
      </c>
      <c r="D253" s="8">
        <v>2.25</v>
      </c>
      <c r="E253" s="4">
        <v>54</v>
      </c>
      <c r="F253" s="8">
        <v>4.88</v>
      </c>
      <c r="G253" s="4">
        <v>13</v>
      </c>
      <c r="H253" s="8">
        <v>0.68</v>
      </c>
      <c r="I253" s="4">
        <v>1</v>
      </c>
    </row>
    <row r="254" spans="1:9" x14ac:dyDescent="0.15">
      <c r="A254" s="2">
        <v>8</v>
      </c>
      <c r="B254" s="1" t="s">
        <v>138</v>
      </c>
      <c r="C254" s="4">
        <v>67</v>
      </c>
      <c r="D254" s="8">
        <v>2.2200000000000002</v>
      </c>
      <c r="E254" s="4">
        <v>7</v>
      </c>
      <c r="F254" s="8">
        <v>0.63</v>
      </c>
      <c r="G254" s="4">
        <v>60</v>
      </c>
      <c r="H254" s="8">
        <v>3.15</v>
      </c>
      <c r="I254" s="4">
        <v>0</v>
      </c>
    </row>
    <row r="255" spans="1:9" x14ac:dyDescent="0.15">
      <c r="A255" s="2">
        <v>9</v>
      </c>
      <c r="B255" s="1" t="s">
        <v>145</v>
      </c>
      <c r="C255" s="4">
        <v>66</v>
      </c>
      <c r="D255" s="8">
        <v>2.19</v>
      </c>
      <c r="E255" s="4">
        <v>25</v>
      </c>
      <c r="F255" s="8">
        <v>2.2599999999999998</v>
      </c>
      <c r="G255" s="4">
        <v>41</v>
      </c>
      <c r="H255" s="8">
        <v>2.15</v>
      </c>
      <c r="I255" s="4">
        <v>0</v>
      </c>
    </row>
    <row r="256" spans="1:9" x14ac:dyDescent="0.15">
      <c r="A256" s="2">
        <v>10</v>
      </c>
      <c r="B256" s="1" t="s">
        <v>141</v>
      </c>
      <c r="C256" s="4">
        <v>64</v>
      </c>
      <c r="D256" s="8">
        <v>2.12</v>
      </c>
      <c r="E256" s="4">
        <v>5</v>
      </c>
      <c r="F256" s="8">
        <v>0.45</v>
      </c>
      <c r="G256" s="4">
        <v>59</v>
      </c>
      <c r="H256" s="8">
        <v>3.1</v>
      </c>
      <c r="I256" s="4">
        <v>0</v>
      </c>
    </row>
    <row r="257" spans="1:9" x14ac:dyDescent="0.15">
      <c r="A257" s="2">
        <v>11</v>
      </c>
      <c r="B257" s="1" t="s">
        <v>158</v>
      </c>
      <c r="C257" s="4">
        <v>62</v>
      </c>
      <c r="D257" s="8">
        <v>2.06</v>
      </c>
      <c r="E257" s="4">
        <v>9</v>
      </c>
      <c r="F257" s="8">
        <v>0.81</v>
      </c>
      <c r="G257" s="4">
        <v>53</v>
      </c>
      <c r="H257" s="8">
        <v>2.78</v>
      </c>
      <c r="I257" s="4">
        <v>0</v>
      </c>
    </row>
    <row r="258" spans="1:9" x14ac:dyDescent="0.15">
      <c r="A258" s="2">
        <v>11</v>
      </c>
      <c r="B258" s="1" t="s">
        <v>150</v>
      </c>
      <c r="C258" s="4">
        <v>62</v>
      </c>
      <c r="D258" s="8">
        <v>2.06</v>
      </c>
      <c r="E258" s="4">
        <v>46</v>
      </c>
      <c r="F258" s="8">
        <v>4.16</v>
      </c>
      <c r="G258" s="4">
        <v>16</v>
      </c>
      <c r="H258" s="8">
        <v>0.84</v>
      </c>
      <c r="I258" s="4">
        <v>0</v>
      </c>
    </row>
    <row r="259" spans="1:9" x14ac:dyDescent="0.15">
      <c r="A259" s="2">
        <v>13</v>
      </c>
      <c r="B259" s="1" t="s">
        <v>146</v>
      </c>
      <c r="C259" s="4">
        <v>60</v>
      </c>
      <c r="D259" s="8">
        <v>1.99</v>
      </c>
      <c r="E259" s="4">
        <v>5</v>
      </c>
      <c r="F259" s="8">
        <v>0.45</v>
      </c>
      <c r="G259" s="4">
        <v>55</v>
      </c>
      <c r="H259" s="8">
        <v>2.89</v>
      </c>
      <c r="I259" s="4">
        <v>0</v>
      </c>
    </row>
    <row r="260" spans="1:9" x14ac:dyDescent="0.15">
      <c r="A260" s="2">
        <v>14</v>
      </c>
      <c r="B260" s="1" t="s">
        <v>139</v>
      </c>
      <c r="C260" s="4">
        <v>58</v>
      </c>
      <c r="D260" s="8">
        <v>1.92</v>
      </c>
      <c r="E260" s="4">
        <v>4</v>
      </c>
      <c r="F260" s="8">
        <v>0.36</v>
      </c>
      <c r="G260" s="4">
        <v>54</v>
      </c>
      <c r="H260" s="8">
        <v>2.83</v>
      </c>
      <c r="I260" s="4">
        <v>0</v>
      </c>
    </row>
    <row r="261" spans="1:9" x14ac:dyDescent="0.15">
      <c r="A261" s="2">
        <v>14</v>
      </c>
      <c r="B261" s="1" t="s">
        <v>175</v>
      </c>
      <c r="C261" s="4">
        <v>58</v>
      </c>
      <c r="D261" s="8">
        <v>1.92</v>
      </c>
      <c r="E261" s="4">
        <v>33</v>
      </c>
      <c r="F261" s="8">
        <v>2.98</v>
      </c>
      <c r="G261" s="4">
        <v>25</v>
      </c>
      <c r="H261" s="8">
        <v>1.31</v>
      </c>
      <c r="I261" s="4">
        <v>0</v>
      </c>
    </row>
    <row r="262" spans="1:9" x14ac:dyDescent="0.15">
      <c r="A262" s="2">
        <v>16</v>
      </c>
      <c r="B262" s="1" t="s">
        <v>153</v>
      </c>
      <c r="C262" s="4">
        <v>57</v>
      </c>
      <c r="D262" s="8">
        <v>1.89</v>
      </c>
      <c r="E262" s="4">
        <v>26</v>
      </c>
      <c r="F262" s="8">
        <v>2.35</v>
      </c>
      <c r="G262" s="4">
        <v>31</v>
      </c>
      <c r="H262" s="8">
        <v>1.63</v>
      </c>
      <c r="I262" s="4">
        <v>0</v>
      </c>
    </row>
    <row r="263" spans="1:9" x14ac:dyDescent="0.15">
      <c r="A263" s="2">
        <v>17</v>
      </c>
      <c r="B263" s="1" t="s">
        <v>144</v>
      </c>
      <c r="C263" s="4">
        <v>56</v>
      </c>
      <c r="D263" s="8">
        <v>1.86</v>
      </c>
      <c r="E263" s="4">
        <v>10</v>
      </c>
      <c r="F263" s="8">
        <v>0.9</v>
      </c>
      <c r="G263" s="4">
        <v>46</v>
      </c>
      <c r="H263" s="8">
        <v>2.41</v>
      </c>
      <c r="I263" s="4">
        <v>0</v>
      </c>
    </row>
    <row r="264" spans="1:9" x14ac:dyDescent="0.15">
      <c r="A264" s="2">
        <v>18</v>
      </c>
      <c r="B264" s="1" t="s">
        <v>140</v>
      </c>
      <c r="C264" s="4">
        <v>55</v>
      </c>
      <c r="D264" s="8">
        <v>1.82</v>
      </c>
      <c r="E264" s="4">
        <v>9</v>
      </c>
      <c r="F264" s="8">
        <v>0.81</v>
      </c>
      <c r="G264" s="4">
        <v>46</v>
      </c>
      <c r="H264" s="8">
        <v>2.41</v>
      </c>
      <c r="I264" s="4">
        <v>0</v>
      </c>
    </row>
    <row r="265" spans="1:9" x14ac:dyDescent="0.15">
      <c r="A265" s="2">
        <v>18</v>
      </c>
      <c r="B265" s="1" t="s">
        <v>152</v>
      </c>
      <c r="C265" s="4">
        <v>55</v>
      </c>
      <c r="D265" s="8">
        <v>1.82</v>
      </c>
      <c r="E265" s="4">
        <v>47</v>
      </c>
      <c r="F265" s="8">
        <v>4.25</v>
      </c>
      <c r="G265" s="4">
        <v>8</v>
      </c>
      <c r="H265" s="8">
        <v>0.42</v>
      </c>
      <c r="I265" s="4">
        <v>0</v>
      </c>
    </row>
    <row r="266" spans="1:9" x14ac:dyDescent="0.15">
      <c r="A266" s="2">
        <v>20</v>
      </c>
      <c r="B266" s="1" t="s">
        <v>142</v>
      </c>
      <c r="C266" s="4">
        <v>45</v>
      </c>
      <c r="D266" s="8">
        <v>1.49</v>
      </c>
      <c r="E266" s="4">
        <v>10</v>
      </c>
      <c r="F266" s="8">
        <v>0.9</v>
      </c>
      <c r="G266" s="4">
        <v>35</v>
      </c>
      <c r="H266" s="8">
        <v>1.84</v>
      </c>
      <c r="I266" s="4">
        <v>0</v>
      </c>
    </row>
    <row r="267" spans="1:9" x14ac:dyDescent="0.15">
      <c r="A267" s="1"/>
      <c r="C267" s="4"/>
      <c r="D267" s="8"/>
      <c r="E267" s="4"/>
      <c r="F267" s="8"/>
      <c r="G267" s="4"/>
      <c r="H267" s="8"/>
      <c r="I267" s="4"/>
    </row>
    <row r="268" spans="1:9" x14ac:dyDescent="0.15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15">
      <c r="A269" s="2">
        <v>1</v>
      </c>
      <c r="B269" s="1" t="s">
        <v>148</v>
      </c>
      <c r="C269" s="4">
        <v>322</v>
      </c>
      <c r="D269" s="8">
        <v>9.99</v>
      </c>
      <c r="E269" s="4">
        <v>245</v>
      </c>
      <c r="F269" s="8">
        <v>16.7</v>
      </c>
      <c r="G269" s="4">
        <v>77</v>
      </c>
      <c r="H269" s="8">
        <v>4.38</v>
      </c>
      <c r="I269" s="4">
        <v>0</v>
      </c>
    </row>
    <row r="270" spans="1:9" x14ac:dyDescent="0.15">
      <c r="A270" s="2">
        <v>2</v>
      </c>
      <c r="B270" s="1" t="s">
        <v>155</v>
      </c>
      <c r="C270" s="4">
        <v>171</v>
      </c>
      <c r="D270" s="8">
        <v>5.3</v>
      </c>
      <c r="E270" s="4">
        <v>132</v>
      </c>
      <c r="F270" s="8">
        <v>9</v>
      </c>
      <c r="G270" s="4">
        <v>39</v>
      </c>
      <c r="H270" s="8">
        <v>2.2200000000000002</v>
      </c>
      <c r="I270" s="4">
        <v>0</v>
      </c>
    </row>
    <row r="271" spans="1:9" x14ac:dyDescent="0.15">
      <c r="A271" s="2">
        <v>3</v>
      </c>
      <c r="B271" s="1" t="s">
        <v>156</v>
      </c>
      <c r="C271" s="4">
        <v>109</v>
      </c>
      <c r="D271" s="8">
        <v>3.38</v>
      </c>
      <c r="E271" s="4">
        <v>71</v>
      </c>
      <c r="F271" s="8">
        <v>4.84</v>
      </c>
      <c r="G271" s="4">
        <v>38</v>
      </c>
      <c r="H271" s="8">
        <v>2.16</v>
      </c>
      <c r="I271" s="4">
        <v>0</v>
      </c>
    </row>
    <row r="272" spans="1:9" x14ac:dyDescent="0.15">
      <c r="A272" s="2">
        <v>4</v>
      </c>
      <c r="B272" s="1" t="s">
        <v>157</v>
      </c>
      <c r="C272" s="4">
        <v>98</v>
      </c>
      <c r="D272" s="8">
        <v>3.04</v>
      </c>
      <c r="E272" s="4">
        <v>83</v>
      </c>
      <c r="F272" s="8">
        <v>5.66</v>
      </c>
      <c r="G272" s="4">
        <v>15</v>
      </c>
      <c r="H272" s="8">
        <v>0.85</v>
      </c>
      <c r="I272" s="4">
        <v>0</v>
      </c>
    </row>
    <row r="273" spans="1:9" x14ac:dyDescent="0.15">
      <c r="A273" s="2">
        <v>5</v>
      </c>
      <c r="B273" s="1" t="s">
        <v>154</v>
      </c>
      <c r="C273" s="4">
        <v>91</v>
      </c>
      <c r="D273" s="8">
        <v>2.82</v>
      </c>
      <c r="E273" s="4">
        <v>82</v>
      </c>
      <c r="F273" s="8">
        <v>5.59</v>
      </c>
      <c r="G273" s="4">
        <v>9</v>
      </c>
      <c r="H273" s="8">
        <v>0.51</v>
      </c>
      <c r="I273" s="4">
        <v>0</v>
      </c>
    </row>
    <row r="274" spans="1:9" x14ac:dyDescent="0.15">
      <c r="A274" s="2">
        <v>6</v>
      </c>
      <c r="B274" s="1" t="s">
        <v>151</v>
      </c>
      <c r="C274" s="4">
        <v>89</v>
      </c>
      <c r="D274" s="8">
        <v>2.76</v>
      </c>
      <c r="E274" s="4">
        <v>75</v>
      </c>
      <c r="F274" s="8">
        <v>5.1100000000000003</v>
      </c>
      <c r="G274" s="4">
        <v>14</v>
      </c>
      <c r="H274" s="8">
        <v>0.8</v>
      </c>
      <c r="I274" s="4">
        <v>0</v>
      </c>
    </row>
    <row r="275" spans="1:9" x14ac:dyDescent="0.15">
      <c r="A275" s="2">
        <v>7</v>
      </c>
      <c r="B275" s="1" t="s">
        <v>152</v>
      </c>
      <c r="C275" s="4">
        <v>86</v>
      </c>
      <c r="D275" s="8">
        <v>2.67</v>
      </c>
      <c r="E275" s="4">
        <v>84</v>
      </c>
      <c r="F275" s="8">
        <v>5.73</v>
      </c>
      <c r="G275" s="4">
        <v>2</v>
      </c>
      <c r="H275" s="8">
        <v>0.11</v>
      </c>
      <c r="I275" s="4">
        <v>0</v>
      </c>
    </row>
    <row r="276" spans="1:9" x14ac:dyDescent="0.15">
      <c r="A276" s="2">
        <v>8</v>
      </c>
      <c r="B276" s="1" t="s">
        <v>149</v>
      </c>
      <c r="C276" s="4">
        <v>83</v>
      </c>
      <c r="D276" s="8">
        <v>2.57</v>
      </c>
      <c r="E276" s="4">
        <v>5</v>
      </c>
      <c r="F276" s="8">
        <v>0.34</v>
      </c>
      <c r="G276" s="4">
        <v>78</v>
      </c>
      <c r="H276" s="8">
        <v>4.4400000000000004</v>
      </c>
      <c r="I276" s="4">
        <v>0</v>
      </c>
    </row>
    <row r="277" spans="1:9" x14ac:dyDescent="0.15">
      <c r="A277" s="2">
        <v>9</v>
      </c>
      <c r="B277" s="1" t="s">
        <v>150</v>
      </c>
      <c r="C277" s="4">
        <v>76</v>
      </c>
      <c r="D277" s="8">
        <v>2.36</v>
      </c>
      <c r="E277" s="4">
        <v>55</v>
      </c>
      <c r="F277" s="8">
        <v>3.75</v>
      </c>
      <c r="G277" s="4">
        <v>21</v>
      </c>
      <c r="H277" s="8">
        <v>1.2</v>
      </c>
      <c r="I277" s="4">
        <v>0</v>
      </c>
    </row>
    <row r="278" spans="1:9" x14ac:dyDescent="0.15">
      <c r="A278" s="2">
        <v>10</v>
      </c>
      <c r="B278" s="1" t="s">
        <v>145</v>
      </c>
      <c r="C278" s="4">
        <v>75</v>
      </c>
      <c r="D278" s="8">
        <v>2.33</v>
      </c>
      <c r="E278" s="4">
        <v>38</v>
      </c>
      <c r="F278" s="8">
        <v>2.59</v>
      </c>
      <c r="G278" s="4">
        <v>37</v>
      </c>
      <c r="H278" s="8">
        <v>2.11</v>
      </c>
      <c r="I278" s="4">
        <v>0</v>
      </c>
    </row>
    <row r="279" spans="1:9" x14ac:dyDescent="0.15">
      <c r="A279" s="2">
        <v>11</v>
      </c>
      <c r="B279" s="1" t="s">
        <v>158</v>
      </c>
      <c r="C279" s="4">
        <v>69</v>
      </c>
      <c r="D279" s="8">
        <v>2.14</v>
      </c>
      <c r="E279" s="4">
        <v>8</v>
      </c>
      <c r="F279" s="8">
        <v>0.55000000000000004</v>
      </c>
      <c r="G279" s="4">
        <v>61</v>
      </c>
      <c r="H279" s="8">
        <v>3.47</v>
      </c>
      <c r="I279" s="4">
        <v>0</v>
      </c>
    </row>
    <row r="280" spans="1:9" x14ac:dyDescent="0.15">
      <c r="A280" s="2">
        <v>12</v>
      </c>
      <c r="B280" s="1" t="s">
        <v>141</v>
      </c>
      <c r="C280" s="4">
        <v>68</v>
      </c>
      <c r="D280" s="8">
        <v>2.11</v>
      </c>
      <c r="E280" s="4">
        <v>5</v>
      </c>
      <c r="F280" s="8">
        <v>0.34</v>
      </c>
      <c r="G280" s="4">
        <v>63</v>
      </c>
      <c r="H280" s="8">
        <v>3.59</v>
      </c>
      <c r="I280" s="4">
        <v>0</v>
      </c>
    </row>
    <row r="281" spans="1:9" x14ac:dyDescent="0.15">
      <c r="A281" s="2">
        <v>13</v>
      </c>
      <c r="B281" s="1" t="s">
        <v>143</v>
      </c>
      <c r="C281" s="4">
        <v>60</v>
      </c>
      <c r="D281" s="8">
        <v>1.86</v>
      </c>
      <c r="E281" s="4">
        <v>27</v>
      </c>
      <c r="F281" s="8">
        <v>1.84</v>
      </c>
      <c r="G281" s="4">
        <v>33</v>
      </c>
      <c r="H281" s="8">
        <v>1.88</v>
      </c>
      <c r="I281" s="4">
        <v>0</v>
      </c>
    </row>
    <row r="282" spans="1:9" x14ac:dyDescent="0.15">
      <c r="A282" s="2">
        <v>14</v>
      </c>
      <c r="B282" s="1" t="s">
        <v>146</v>
      </c>
      <c r="C282" s="4">
        <v>59</v>
      </c>
      <c r="D282" s="8">
        <v>1.83</v>
      </c>
      <c r="E282" s="4">
        <v>6</v>
      </c>
      <c r="F282" s="8">
        <v>0.41</v>
      </c>
      <c r="G282" s="4">
        <v>53</v>
      </c>
      <c r="H282" s="8">
        <v>3.02</v>
      </c>
      <c r="I282" s="4">
        <v>0</v>
      </c>
    </row>
    <row r="283" spans="1:9" x14ac:dyDescent="0.15">
      <c r="A283" s="2">
        <v>15</v>
      </c>
      <c r="B283" s="1" t="s">
        <v>153</v>
      </c>
      <c r="C283" s="4">
        <v>54</v>
      </c>
      <c r="D283" s="8">
        <v>1.67</v>
      </c>
      <c r="E283" s="4">
        <v>29</v>
      </c>
      <c r="F283" s="8">
        <v>1.98</v>
      </c>
      <c r="G283" s="4">
        <v>25</v>
      </c>
      <c r="H283" s="8">
        <v>1.42</v>
      </c>
      <c r="I283" s="4">
        <v>0</v>
      </c>
    </row>
    <row r="284" spans="1:9" x14ac:dyDescent="0.15">
      <c r="A284" s="2">
        <v>16</v>
      </c>
      <c r="B284" s="1" t="s">
        <v>139</v>
      </c>
      <c r="C284" s="4">
        <v>52</v>
      </c>
      <c r="D284" s="8">
        <v>1.61</v>
      </c>
      <c r="E284" s="4">
        <v>7</v>
      </c>
      <c r="F284" s="8">
        <v>0.48</v>
      </c>
      <c r="G284" s="4">
        <v>45</v>
      </c>
      <c r="H284" s="8">
        <v>2.56</v>
      </c>
      <c r="I284" s="4">
        <v>0</v>
      </c>
    </row>
    <row r="285" spans="1:9" x14ac:dyDescent="0.15">
      <c r="A285" s="2">
        <v>17</v>
      </c>
      <c r="B285" s="1" t="s">
        <v>175</v>
      </c>
      <c r="C285" s="4">
        <v>50</v>
      </c>
      <c r="D285" s="8">
        <v>1.55</v>
      </c>
      <c r="E285" s="4">
        <v>40</v>
      </c>
      <c r="F285" s="8">
        <v>2.73</v>
      </c>
      <c r="G285" s="4">
        <v>10</v>
      </c>
      <c r="H285" s="8">
        <v>0.56999999999999995</v>
      </c>
      <c r="I285" s="4">
        <v>0</v>
      </c>
    </row>
    <row r="286" spans="1:9" x14ac:dyDescent="0.15">
      <c r="A286" s="2">
        <v>18</v>
      </c>
      <c r="B286" s="1" t="s">
        <v>138</v>
      </c>
      <c r="C286" s="4">
        <v>45</v>
      </c>
      <c r="D286" s="8">
        <v>1.4</v>
      </c>
      <c r="E286" s="4">
        <v>3</v>
      </c>
      <c r="F286" s="8">
        <v>0.2</v>
      </c>
      <c r="G286" s="4">
        <v>42</v>
      </c>
      <c r="H286" s="8">
        <v>2.39</v>
      </c>
      <c r="I286" s="4">
        <v>0</v>
      </c>
    </row>
    <row r="287" spans="1:9" x14ac:dyDescent="0.15">
      <c r="A287" s="2">
        <v>18</v>
      </c>
      <c r="B287" s="1" t="s">
        <v>140</v>
      </c>
      <c r="C287" s="4">
        <v>45</v>
      </c>
      <c r="D287" s="8">
        <v>1.4</v>
      </c>
      <c r="E287" s="4">
        <v>5</v>
      </c>
      <c r="F287" s="8">
        <v>0.34</v>
      </c>
      <c r="G287" s="4">
        <v>40</v>
      </c>
      <c r="H287" s="8">
        <v>2.2799999999999998</v>
      </c>
      <c r="I287" s="4">
        <v>0</v>
      </c>
    </row>
    <row r="288" spans="1:9" x14ac:dyDescent="0.15">
      <c r="A288" s="2">
        <v>20</v>
      </c>
      <c r="B288" s="1" t="s">
        <v>159</v>
      </c>
      <c r="C288" s="4">
        <v>44</v>
      </c>
      <c r="D288" s="8">
        <v>1.36</v>
      </c>
      <c r="E288" s="4">
        <v>10</v>
      </c>
      <c r="F288" s="8">
        <v>0.68</v>
      </c>
      <c r="G288" s="4">
        <v>34</v>
      </c>
      <c r="H288" s="8">
        <v>1.94</v>
      </c>
      <c r="I288" s="4">
        <v>0</v>
      </c>
    </row>
    <row r="289" spans="1:9" x14ac:dyDescent="0.15">
      <c r="A289" s="1"/>
      <c r="C289" s="4"/>
      <c r="D289" s="8"/>
      <c r="E289" s="4"/>
      <c r="F289" s="8"/>
      <c r="G289" s="4"/>
      <c r="H289" s="8"/>
      <c r="I289" s="4"/>
    </row>
    <row r="290" spans="1:9" x14ac:dyDescent="0.15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15">
      <c r="A291" s="2">
        <v>1</v>
      </c>
      <c r="B291" s="1" t="s">
        <v>148</v>
      </c>
      <c r="C291" s="4">
        <v>146</v>
      </c>
      <c r="D291" s="8">
        <v>4.96</v>
      </c>
      <c r="E291" s="4">
        <v>110</v>
      </c>
      <c r="F291" s="8">
        <v>8.8800000000000008</v>
      </c>
      <c r="G291" s="4">
        <v>36</v>
      </c>
      <c r="H291" s="8">
        <v>2.12</v>
      </c>
      <c r="I291" s="4">
        <v>0</v>
      </c>
    </row>
    <row r="292" spans="1:9" x14ac:dyDescent="0.15">
      <c r="A292" s="2">
        <v>2</v>
      </c>
      <c r="B292" s="1" t="s">
        <v>155</v>
      </c>
      <c r="C292" s="4">
        <v>135</v>
      </c>
      <c r="D292" s="8">
        <v>4.58</v>
      </c>
      <c r="E292" s="4">
        <v>114</v>
      </c>
      <c r="F292" s="8">
        <v>9.1999999999999993</v>
      </c>
      <c r="G292" s="4">
        <v>21</v>
      </c>
      <c r="H292" s="8">
        <v>1.24</v>
      </c>
      <c r="I292" s="4">
        <v>0</v>
      </c>
    </row>
    <row r="293" spans="1:9" x14ac:dyDescent="0.15">
      <c r="A293" s="2">
        <v>3</v>
      </c>
      <c r="B293" s="1" t="s">
        <v>154</v>
      </c>
      <c r="C293" s="4">
        <v>89</v>
      </c>
      <c r="D293" s="8">
        <v>3.02</v>
      </c>
      <c r="E293" s="4">
        <v>76</v>
      </c>
      <c r="F293" s="8">
        <v>6.13</v>
      </c>
      <c r="G293" s="4">
        <v>13</v>
      </c>
      <c r="H293" s="8">
        <v>0.77</v>
      </c>
      <c r="I293" s="4">
        <v>0</v>
      </c>
    </row>
    <row r="294" spans="1:9" x14ac:dyDescent="0.15">
      <c r="A294" s="2">
        <v>4</v>
      </c>
      <c r="B294" s="1" t="s">
        <v>156</v>
      </c>
      <c r="C294" s="4">
        <v>87</v>
      </c>
      <c r="D294" s="8">
        <v>2.95</v>
      </c>
      <c r="E294" s="4">
        <v>61</v>
      </c>
      <c r="F294" s="8">
        <v>4.92</v>
      </c>
      <c r="G294" s="4">
        <v>26</v>
      </c>
      <c r="H294" s="8">
        <v>1.53</v>
      </c>
      <c r="I294" s="4">
        <v>0</v>
      </c>
    </row>
    <row r="295" spans="1:9" x14ac:dyDescent="0.15">
      <c r="A295" s="2">
        <v>5</v>
      </c>
      <c r="B295" s="1" t="s">
        <v>141</v>
      </c>
      <c r="C295" s="4">
        <v>79</v>
      </c>
      <c r="D295" s="8">
        <v>2.68</v>
      </c>
      <c r="E295" s="4">
        <v>6</v>
      </c>
      <c r="F295" s="8">
        <v>0.48</v>
      </c>
      <c r="G295" s="4">
        <v>73</v>
      </c>
      <c r="H295" s="8">
        <v>4.3</v>
      </c>
      <c r="I295" s="4">
        <v>0</v>
      </c>
    </row>
    <row r="296" spans="1:9" x14ac:dyDescent="0.15">
      <c r="A296" s="2">
        <v>6</v>
      </c>
      <c r="B296" s="1" t="s">
        <v>157</v>
      </c>
      <c r="C296" s="4">
        <v>77</v>
      </c>
      <c r="D296" s="8">
        <v>2.61</v>
      </c>
      <c r="E296" s="4">
        <v>64</v>
      </c>
      <c r="F296" s="8">
        <v>5.17</v>
      </c>
      <c r="G296" s="4">
        <v>13</v>
      </c>
      <c r="H296" s="8">
        <v>0.77</v>
      </c>
      <c r="I296" s="4">
        <v>0</v>
      </c>
    </row>
    <row r="297" spans="1:9" x14ac:dyDescent="0.15">
      <c r="A297" s="2">
        <v>7</v>
      </c>
      <c r="B297" s="1" t="s">
        <v>150</v>
      </c>
      <c r="C297" s="4">
        <v>69</v>
      </c>
      <c r="D297" s="8">
        <v>2.34</v>
      </c>
      <c r="E297" s="4">
        <v>56</v>
      </c>
      <c r="F297" s="8">
        <v>4.5199999999999996</v>
      </c>
      <c r="G297" s="4">
        <v>13</v>
      </c>
      <c r="H297" s="8">
        <v>0.77</v>
      </c>
      <c r="I297" s="4">
        <v>0</v>
      </c>
    </row>
    <row r="298" spans="1:9" x14ac:dyDescent="0.15">
      <c r="A298" s="2">
        <v>8</v>
      </c>
      <c r="B298" s="1" t="s">
        <v>151</v>
      </c>
      <c r="C298" s="4">
        <v>67</v>
      </c>
      <c r="D298" s="8">
        <v>2.27</v>
      </c>
      <c r="E298" s="4">
        <v>61</v>
      </c>
      <c r="F298" s="8">
        <v>4.92</v>
      </c>
      <c r="G298" s="4">
        <v>6</v>
      </c>
      <c r="H298" s="8">
        <v>0.35</v>
      </c>
      <c r="I298" s="4">
        <v>0</v>
      </c>
    </row>
    <row r="299" spans="1:9" x14ac:dyDescent="0.15">
      <c r="A299" s="2">
        <v>9</v>
      </c>
      <c r="B299" s="1" t="s">
        <v>152</v>
      </c>
      <c r="C299" s="4">
        <v>66</v>
      </c>
      <c r="D299" s="8">
        <v>2.2400000000000002</v>
      </c>
      <c r="E299" s="4">
        <v>63</v>
      </c>
      <c r="F299" s="8">
        <v>5.08</v>
      </c>
      <c r="G299" s="4">
        <v>3</v>
      </c>
      <c r="H299" s="8">
        <v>0.18</v>
      </c>
      <c r="I299" s="4">
        <v>0</v>
      </c>
    </row>
    <row r="300" spans="1:9" x14ac:dyDescent="0.15">
      <c r="A300" s="2">
        <v>10</v>
      </c>
      <c r="B300" s="1" t="s">
        <v>158</v>
      </c>
      <c r="C300" s="4">
        <v>60</v>
      </c>
      <c r="D300" s="8">
        <v>2.04</v>
      </c>
      <c r="E300" s="4">
        <v>7</v>
      </c>
      <c r="F300" s="8">
        <v>0.56000000000000005</v>
      </c>
      <c r="G300" s="4">
        <v>53</v>
      </c>
      <c r="H300" s="8">
        <v>3.12</v>
      </c>
      <c r="I300" s="4">
        <v>0</v>
      </c>
    </row>
    <row r="301" spans="1:9" x14ac:dyDescent="0.15">
      <c r="A301" s="2">
        <v>11</v>
      </c>
      <c r="B301" s="1" t="s">
        <v>140</v>
      </c>
      <c r="C301" s="4">
        <v>59</v>
      </c>
      <c r="D301" s="8">
        <v>2</v>
      </c>
      <c r="E301" s="4">
        <v>6</v>
      </c>
      <c r="F301" s="8">
        <v>0.48</v>
      </c>
      <c r="G301" s="4">
        <v>53</v>
      </c>
      <c r="H301" s="8">
        <v>3.12</v>
      </c>
      <c r="I301" s="4">
        <v>0</v>
      </c>
    </row>
    <row r="302" spans="1:9" x14ac:dyDescent="0.15">
      <c r="A302" s="2">
        <v>11</v>
      </c>
      <c r="B302" s="1" t="s">
        <v>153</v>
      </c>
      <c r="C302" s="4">
        <v>59</v>
      </c>
      <c r="D302" s="8">
        <v>2</v>
      </c>
      <c r="E302" s="4">
        <v>31</v>
      </c>
      <c r="F302" s="8">
        <v>2.5</v>
      </c>
      <c r="G302" s="4">
        <v>28</v>
      </c>
      <c r="H302" s="8">
        <v>1.65</v>
      </c>
      <c r="I302" s="4">
        <v>0</v>
      </c>
    </row>
    <row r="303" spans="1:9" x14ac:dyDescent="0.15">
      <c r="A303" s="2">
        <v>13</v>
      </c>
      <c r="B303" s="1" t="s">
        <v>145</v>
      </c>
      <c r="C303" s="4">
        <v>57</v>
      </c>
      <c r="D303" s="8">
        <v>1.93</v>
      </c>
      <c r="E303" s="4">
        <v>28</v>
      </c>
      <c r="F303" s="8">
        <v>2.2599999999999998</v>
      </c>
      <c r="G303" s="4">
        <v>29</v>
      </c>
      <c r="H303" s="8">
        <v>1.71</v>
      </c>
      <c r="I303" s="4">
        <v>0</v>
      </c>
    </row>
    <row r="304" spans="1:9" x14ac:dyDescent="0.15">
      <c r="A304" s="2">
        <v>14</v>
      </c>
      <c r="B304" s="1" t="s">
        <v>178</v>
      </c>
      <c r="C304" s="4">
        <v>52</v>
      </c>
      <c r="D304" s="8">
        <v>1.77</v>
      </c>
      <c r="E304" s="4">
        <v>5</v>
      </c>
      <c r="F304" s="8">
        <v>0.4</v>
      </c>
      <c r="G304" s="4">
        <v>47</v>
      </c>
      <c r="H304" s="8">
        <v>2.77</v>
      </c>
      <c r="I304" s="4">
        <v>0</v>
      </c>
    </row>
    <row r="305" spans="1:9" x14ac:dyDescent="0.15">
      <c r="A305" s="2">
        <v>15</v>
      </c>
      <c r="B305" s="1" t="s">
        <v>144</v>
      </c>
      <c r="C305" s="4">
        <v>50</v>
      </c>
      <c r="D305" s="8">
        <v>1.7</v>
      </c>
      <c r="E305" s="4">
        <v>10</v>
      </c>
      <c r="F305" s="8">
        <v>0.81</v>
      </c>
      <c r="G305" s="4">
        <v>40</v>
      </c>
      <c r="H305" s="8">
        <v>2.36</v>
      </c>
      <c r="I305" s="4">
        <v>0</v>
      </c>
    </row>
    <row r="306" spans="1:9" x14ac:dyDescent="0.15">
      <c r="A306" s="2">
        <v>16</v>
      </c>
      <c r="B306" s="1" t="s">
        <v>149</v>
      </c>
      <c r="C306" s="4">
        <v>47</v>
      </c>
      <c r="D306" s="8">
        <v>1.6</v>
      </c>
      <c r="E306" s="4">
        <v>0</v>
      </c>
      <c r="F306" s="8">
        <v>0</v>
      </c>
      <c r="G306" s="4">
        <v>40</v>
      </c>
      <c r="H306" s="8">
        <v>2.36</v>
      </c>
      <c r="I306" s="4">
        <v>7</v>
      </c>
    </row>
    <row r="307" spans="1:9" x14ac:dyDescent="0.15">
      <c r="A307" s="2">
        <v>17</v>
      </c>
      <c r="B307" s="1" t="s">
        <v>174</v>
      </c>
      <c r="C307" s="4">
        <v>45</v>
      </c>
      <c r="D307" s="8">
        <v>1.53</v>
      </c>
      <c r="E307" s="4">
        <v>9</v>
      </c>
      <c r="F307" s="8">
        <v>0.73</v>
      </c>
      <c r="G307" s="4">
        <v>36</v>
      </c>
      <c r="H307" s="8">
        <v>2.12</v>
      </c>
      <c r="I307" s="4">
        <v>0</v>
      </c>
    </row>
    <row r="308" spans="1:9" x14ac:dyDescent="0.15">
      <c r="A308" s="2">
        <v>17</v>
      </c>
      <c r="B308" s="1" t="s">
        <v>143</v>
      </c>
      <c r="C308" s="4">
        <v>45</v>
      </c>
      <c r="D308" s="8">
        <v>1.53</v>
      </c>
      <c r="E308" s="4">
        <v>28</v>
      </c>
      <c r="F308" s="8">
        <v>2.2599999999999998</v>
      </c>
      <c r="G308" s="4">
        <v>17</v>
      </c>
      <c r="H308" s="8">
        <v>1</v>
      </c>
      <c r="I308" s="4">
        <v>0</v>
      </c>
    </row>
    <row r="309" spans="1:9" x14ac:dyDescent="0.15">
      <c r="A309" s="2">
        <v>19</v>
      </c>
      <c r="B309" s="1" t="s">
        <v>139</v>
      </c>
      <c r="C309" s="4">
        <v>44</v>
      </c>
      <c r="D309" s="8">
        <v>1.49</v>
      </c>
      <c r="E309" s="4">
        <v>6</v>
      </c>
      <c r="F309" s="8">
        <v>0.48</v>
      </c>
      <c r="G309" s="4">
        <v>38</v>
      </c>
      <c r="H309" s="8">
        <v>2.2400000000000002</v>
      </c>
      <c r="I309" s="4">
        <v>0</v>
      </c>
    </row>
    <row r="310" spans="1:9" x14ac:dyDescent="0.15">
      <c r="A310" s="2">
        <v>20</v>
      </c>
      <c r="B310" s="1" t="s">
        <v>138</v>
      </c>
      <c r="C310" s="4">
        <v>43</v>
      </c>
      <c r="D310" s="8">
        <v>1.46</v>
      </c>
      <c r="E310" s="4">
        <v>0</v>
      </c>
      <c r="F310" s="8">
        <v>0</v>
      </c>
      <c r="G310" s="4">
        <v>43</v>
      </c>
      <c r="H310" s="8">
        <v>2.5299999999999998</v>
      </c>
      <c r="I310" s="4">
        <v>0</v>
      </c>
    </row>
    <row r="311" spans="1:9" x14ac:dyDescent="0.15">
      <c r="A311" s="1"/>
      <c r="C311" s="4"/>
      <c r="D311" s="8"/>
      <c r="E311" s="4"/>
      <c r="F311" s="8"/>
      <c r="G311" s="4"/>
      <c r="H311" s="8"/>
      <c r="I311" s="4"/>
    </row>
    <row r="312" spans="1:9" x14ac:dyDescent="0.15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15">
      <c r="A313" s="2">
        <v>1</v>
      </c>
      <c r="B313" s="1" t="s">
        <v>155</v>
      </c>
      <c r="C313" s="4">
        <v>91</v>
      </c>
      <c r="D313" s="8">
        <v>4.7</v>
      </c>
      <c r="E313" s="4">
        <v>66</v>
      </c>
      <c r="F313" s="8">
        <v>9.43</v>
      </c>
      <c r="G313" s="4">
        <v>25</v>
      </c>
      <c r="H313" s="8">
        <v>2.0299999999999998</v>
      </c>
      <c r="I313" s="4">
        <v>0</v>
      </c>
    </row>
    <row r="314" spans="1:9" x14ac:dyDescent="0.15">
      <c r="A314" s="2">
        <v>2</v>
      </c>
      <c r="B314" s="1" t="s">
        <v>148</v>
      </c>
      <c r="C314" s="4">
        <v>68</v>
      </c>
      <c r="D314" s="8">
        <v>3.51</v>
      </c>
      <c r="E314" s="4">
        <v>22</v>
      </c>
      <c r="F314" s="8">
        <v>3.14</v>
      </c>
      <c r="G314" s="4">
        <v>46</v>
      </c>
      <c r="H314" s="8">
        <v>3.73</v>
      </c>
      <c r="I314" s="4">
        <v>0</v>
      </c>
    </row>
    <row r="315" spans="1:9" x14ac:dyDescent="0.15">
      <c r="A315" s="2">
        <v>3</v>
      </c>
      <c r="B315" s="1" t="s">
        <v>157</v>
      </c>
      <c r="C315" s="4">
        <v>55</v>
      </c>
      <c r="D315" s="8">
        <v>2.84</v>
      </c>
      <c r="E315" s="4">
        <v>46</v>
      </c>
      <c r="F315" s="8">
        <v>6.57</v>
      </c>
      <c r="G315" s="4">
        <v>9</v>
      </c>
      <c r="H315" s="8">
        <v>0.73</v>
      </c>
      <c r="I315" s="4">
        <v>0</v>
      </c>
    </row>
    <row r="316" spans="1:9" x14ac:dyDescent="0.15">
      <c r="A316" s="2">
        <v>4</v>
      </c>
      <c r="B316" s="1" t="s">
        <v>149</v>
      </c>
      <c r="C316" s="4">
        <v>52</v>
      </c>
      <c r="D316" s="8">
        <v>2.68</v>
      </c>
      <c r="E316" s="4">
        <v>1</v>
      </c>
      <c r="F316" s="8">
        <v>0.14000000000000001</v>
      </c>
      <c r="G316" s="4">
        <v>51</v>
      </c>
      <c r="H316" s="8">
        <v>4.13</v>
      </c>
      <c r="I316" s="4">
        <v>0</v>
      </c>
    </row>
    <row r="317" spans="1:9" x14ac:dyDescent="0.15">
      <c r="A317" s="2">
        <v>4</v>
      </c>
      <c r="B317" s="1" t="s">
        <v>156</v>
      </c>
      <c r="C317" s="4">
        <v>52</v>
      </c>
      <c r="D317" s="8">
        <v>2.68</v>
      </c>
      <c r="E317" s="4">
        <v>34</v>
      </c>
      <c r="F317" s="8">
        <v>4.8600000000000003</v>
      </c>
      <c r="G317" s="4">
        <v>18</v>
      </c>
      <c r="H317" s="8">
        <v>1.46</v>
      </c>
      <c r="I317" s="4">
        <v>0</v>
      </c>
    </row>
    <row r="318" spans="1:9" x14ac:dyDescent="0.15">
      <c r="A318" s="2">
        <v>6</v>
      </c>
      <c r="B318" s="1" t="s">
        <v>151</v>
      </c>
      <c r="C318" s="4">
        <v>49</v>
      </c>
      <c r="D318" s="8">
        <v>2.5299999999999998</v>
      </c>
      <c r="E318" s="4">
        <v>42</v>
      </c>
      <c r="F318" s="8">
        <v>6</v>
      </c>
      <c r="G318" s="4">
        <v>7</v>
      </c>
      <c r="H318" s="8">
        <v>0.56999999999999995</v>
      </c>
      <c r="I318" s="4">
        <v>0</v>
      </c>
    </row>
    <row r="319" spans="1:9" x14ac:dyDescent="0.15">
      <c r="A319" s="2">
        <v>7</v>
      </c>
      <c r="B319" s="1" t="s">
        <v>150</v>
      </c>
      <c r="C319" s="4">
        <v>47</v>
      </c>
      <c r="D319" s="8">
        <v>2.4300000000000002</v>
      </c>
      <c r="E319" s="4">
        <v>34</v>
      </c>
      <c r="F319" s="8">
        <v>4.8600000000000003</v>
      </c>
      <c r="G319" s="4">
        <v>13</v>
      </c>
      <c r="H319" s="8">
        <v>1.05</v>
      </c>
      <c r="I319" s="4">
        <v>0</v>
      </c>
    </row>
    <row r="320" spans="1:9" x14ac:dyDescent="0.15">
      <c r="A320" s="2">
        <v>7</v>
      </c>
      <c r="B320" s="1" t="s">
        <v>154</v>
      </c>
      <c r="C320" s="4">
        <v>47</v>
      </c>
      <c r="D320" s="8">
        <v>2.4300000000000002</v>
      </c>
      <c r="E320" s="4">
        <v>38</v>
      </c>
      <c r="F320" s="8">
        <v>5.43</v>
      </c>
      <c r="G320" s="4">
        <v>9</v>
      </c>
      <c r="H320" s="8">
        <v>0.73</v>
      </c>
      <c r="I320" s="4">
        <v>0</v>
      </c>
    </row>
    <row r="321" spans="1:9" x14ac:dyDescent="0.15">
      <c r="A321" s="2">
        <v>9</v>
      </c>
      <c r="B321" s="1" t="s">
        <v>141</v>
      </c>
      <c r="C321" s="4">
        <v>42</v>
      </c>
      <c r="D321" s="8">
        <v>2.17</v>
      </c>
      <c r="E321" s="4">
        <v>1</v>
      </c>
      <c r="F321" s="8">
        <v>0.14000000000000001</v>
      </c>
      <c r="G321" s="4">
        <v>41</v>
      </c>
      <c r="H321" s="8">
        <v>3.32</v>
      </c>
      <c r="I321" s="4">
        <v>0</v>
      </c>
    </row>
    <row r="322" spans="1:9" x14ac:dyDescent="0.15">
      <c r="A322" s="2">
        <v>10</v>
      </c>
      <c r="B322" s="1" t="s">
        <v>153</v>
      </c>
      <c r="C322" s="4">
        <v>40</v>
      </c>
      <c r="D322" s="8">
        <v>2.0699999999999998</v>
      </c>
      <c r="E322" s="4">
        <v>19</v>
      </c>
      <c r="F322" s="8">
        <v>2.71</v>
      </c>
      <c r="G322" s="4">
        <v>21</v>
      </c>
      <c r="H322" s="8">
        <v>1.7</v>
      </c>
      <c r="I322" s="4">
        <v>0</v>
      </c>
    </row>
    <row r="323" spans="1:9" x14ac:dyDescent="0.15">
      <c r="A323" s="2">
        <v>11</v>
      </c>
      <c r="B323" s="1" t="s">
        <v>140</v>
      </c>
      <c r="C323" s="4">
        <v>38</v>
      </c>
      <c r="D323" s="8">
        <v>1.96</v>
      </c>
      <c r="E323" s="4">
        <v>9</v>
      </c>
      <c r="F323" s="8">
        <v>1.29</v>
      </c>
      <c r="G323" s="4">
        <v>29</v>
      </c>
      <c r="H323" s="8">
        <v>2.35</v>
      </c>
      <c r="I323" s="4">
        <v>0</v>
      </c>
    </row>
    <row r="324" spans="1:9" x14ac:dyDescent="0.15">
      <c r="A324" s="2">
        <v>12</v>
      </c>
      <c r="B324" s="1" t="s">
        <v>143</v>
      </c>
      <c r="C324" s="4">
        <v>37</v>
      </c>
      <c r="D324" s="8">
        <v>1.91</v>
      </c>
      <c r="E324" s="4">
        <v>21</v>
      </c>
      <c r="F324" s="8">
        <v>3</v>
      </c>
      <c r="G324" s="4">
        <v>16</v>
      </c>
      <c r="H324" s="8">
        <v>1.3</v>
      </c>
      <c r="I324" s="4">
        <v>0</v>
      </c>
    </row>
    <row r="325" spans="1:9" x14ac:dyDescent="0.15">
      <c r="A325" s="2">
        <v>13</v>
      </c>
      <c r="B325" s="1" t="s">
        <v>138</v>
      </c>
      <c r="C325" s="4">
        <v>36</v>
      </c>
      <c r="D325" s="8">
        <v>1.86</v>
      </c>
      <c r="E325" s="4">
        <v>5</v>
      </c>
      <c r="F325" s="8">
        <v>0.71</v>
      </c>
      <c r="G325" s="4">
        <v>31</v>
      </c>
      <c r="H325" s="8">
        <v>2.5099999999999998</v>
      </c>
      <c r="I325" s="4">
        <v>0</v>
      </c>
    </row>
    <row r="326" spans="1:9" x14ac:dyDescent="0.15">
      <c r="A326" s="2">
        <v>14</v>
      </c>
      <c r="B326" s="1" t="s">
        <v>152</v>
      </c>
      <c r="C326" s="4">
        <v>35</v>
      </c>
      <c r="D326" s="8">
        <v>1.81</v>
      </c>
      <c r="E326" s="4">
        <v>33</v>
      </c>
      <c r="F326" s="8">
        <v>4.71</v>
      </c>
      <c r="G326" s="4">
        <v>2</v>
      </c>
      <c r="H326" s="8">
        <v>0.16</v>
      </c>
      <c r="I326" s="4">
        <v>0</v>
      </c>
    </row>
    <row r="327" spans="1:9" x14ac:dyDescent="0.15">
      <c r="A327" s="2">
        <v>15</v>
      </c>
      <c r="B327" s="1" t="s">
        <v>145</v>
      </c>
      <c r="C327" s="4">
        <v>34</v>
      </c>
      <c r="D327" s="8">
        <v>1.76</v>
      </c>
      <c r="E327" s="4">
        <v>14</v>
      </c>
      <c r="F327" s="8">
        <v>2</v>
      </c>
      <c r="G327" s="4">
        <v>20</v>
      </c>
      <c r="H327" s="8">
        <v>1.62</v>
      </c>
      <c r="I327" s="4">
        <v>0</v>
      </c>
    </row>
    <row r="328" spans="1:9" x14ac:dyDescent="0.15">
      <c r="A328" s="2">
        <v>15</v>
      </c>
      <c r="B328" s="1" t="s">
        <v>147</v>
      </c>
      <c r="C328" s="4">
        <v>34</v>
      </c>
      <c r="D328" s="8">
        <v>1.76</v>
      </c>
      <c r="E328" s="4">
        <v>4</v>
      </c>
      <c r="F328" s="8">
        <v>0.56999999999999995</v>
      </c>
      <c r="G328" s="4">
        <v>30</v>
      </c>
      <c r="H328" s="8">
        <v>2.4300000000000002</v>
      </c>
      <c r="I328" s="4">
        <v>0</v>
      </c>
    </row>
    <row r="329" spans="1:9" x14ac:dyDescent="0.15">
      <c r="A329" s="2">
        <v>15</v>
      </c>
      <c r="B329" s="1" t="s">
        <v>163</v>
      </c>
      <c r="C329" s="4">
        <v>34</v>
      </c>
      <c r="D329" s="8">
        <v>1.76</v>
      </c>
      <c r="E329" s="4">
        <v>29</v>
      </c>
      <c r="F329" s="8">
        <v>4.1399999999999997</v>
      </c>
      <c r="G329" s="4">
        <v>5</v>
      </c>
      <c r="H329" s="8">
        <v>0.41</v>
      </c>
      <c r="I329" s="4">
        <v>0</v>
      </c>
    </row>
    <row r="330" spans="1:9" x14ac:dyDescent="0.15">
      <c r="A330" s="2">
        <v>18</v>
      </c>
      <c r="B330" s="1" t="s">
        <v>146</v>
      </c>
      <c r="C330" s="4">
        <v>30</v>
      </c>
      <c r="D330" s="8">
        <v>1.55</v>
      </c>
      <c r="E330" s="4">
        <v>3</v>
      </c>
      <c r="F330" s="8">
        <v>0.43</v>
      </c>
      <c r="G330" s="4">
        <v>27</v>
      </c>
      <c r="H330" s="8">
        <v>2.19</v>
      </c>
      <c r="I330" s="4">
        <v>0</v>
      </c>
    </row>
    <row r="331" spans="1:9" x14ac:dyDescent="0.15">
      <c r="A331" s="2">
        <v>19</v>
      </c>
      <c r="B331" s="1" t="s">
        <v>139</v>
      </c>
      <c r="C331" s="4">
        <v>29</v>
      </c>
      <c r="D331" s="8">
        <v>1.5</v>
      </c>
      <c r="E331" s="4">
        <v>3</v>
      </c>
      <c r="F331" s="8">
        <v>0.43</v>
      </c>
      <c r="G331" s="4">
        <v>26</v>
      </c>
      <c r="H331" s="8">
        <v>2.11</v>
      </c>
      <c r="I331" s="4">
        <v>0</v>
      </c>
    </row>
    <row r="332" spans="1:9" x14ac:dyDescent="0.15">
      <c r="A332" s="2">
        <v>20</v>
      </c>
      <c r="B332" s="1" t="s">
        <v>171</v>
      </c>
      <c r="C332" s="4">
        <v>28</v>
      </c>
      <c r="D332" s="8">
        <v>1.45</v>
      </c>
      <c r="E332" s="4">
        <v>4</v>
      </c>
      <c r="F332" s="8">
        <v>0.56999999999999995</v>
      </c>
      <c r="G332" s="4">
        <v>24</v>
      </c>
      <c r="H332" s="8">
        <v>1.94</v>
      </c>
      <c r="I332" s="4">
        <v>0</v>
      </c>
    </row>
    <row r="333" spans="1:9" x14ac:dyDescent="0.15">
      <c r="A333" s="2">
        <v>20</v>
      </c>
      <c r="B333" s="1" t="s">
        <v>144</v>
      </c>
      <c r="C333" s="4">
        <v>28</v>
      </c>
      <c r="D333" s="8">
        <v>1.45</v>
      </c>
      <c r="E333" s="4">
        <v>6</v>
      </c>
      <c r="F333" s="8">
        <v>0.86</v>
      </c>
      <c r="G333" s="4">
        <v>22</v>
      </c>
      <c r="H333" s="8">
        <v>1.78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148</v>
      </c>
      <c r="C336" s="4">
        <v>140</v>
      </c>
      <c r="D336" s="8">
        <v>7.37</v>
      </c>
      <c r="E336" s="4">
        <v>104</v>
      </c>
      <c r="F336" s="8">
        <v>11.59</v>
      </c>
      <c r="G336" s="4">
        <v>36</v>
      </c>
      <c r="H336" s="8">
        <v>3.6</v>
      </c>
      <c r="I336" s="4">
        <v>0</v>
      </c>
    </row>
    <row r="337" spans="1:9" x14ac:dyDescent="0.15">
      <c r="A337" s="2">
        <v>2</v>
      </c>
      <c r="B337" s="1" t="s">
        <v>155</v>
      </c>
      <c r="C337" s="4">
        <v>79</v>
      </c>
      <c r="D337" s="8">
        <v>4.16</v>
      </c>
      <c r="E337" s="4">
        <v>67</v>
      </c>
      <c r="F337" s="8">
        <v>7.47</v>
      </c>
      <c r="G337" s="4">
        <v>12</v>
      </c>
      <c r="H337" s="8">
        <v>1.2</v>
      </c>
      <c r="I337" s="4">
        <v>0</v>
      </c>
    </row>
    <row r="338" spans="1:9" x14ac:dyDescent="0.15">
      <c r="A338" s="2">
        <v>3</v>
      </c>
      <c r="B338" s="1" t="s">
        <v>154</v>
      </c>
      <c r="C338" s="4">
        <v>66</v>
      </c>
      <c r="D338" s="8">
        <v>3.48</v>
      </c>
      <c r="E338" s="4">
        <v>61</v>
      </c>
      <c r="F338" s="8">
        <v>6.8</v>
      </c>
      <c r="G338" s="4">
        <v>5</v>
      </c>
      <c r="H338" s="8">
        <v>0.5</v>
      </c>
      <c r="I338" s="4">
        <v>0</v>
      </c>
    </row>
    <row r="339" spans="1:9" x14ac:dyDescent="0.15">
      <c r="A339" s="2">
        <v>4</v>
      </c>
      <c r="B339" s="1" t="s">
        <v>141</v>
      </c>
      <c r="C339" s="4">
        <v>60</v>
      </c>
      <c r="D339" s="8">
        <v>3.16</v>
      </c>
      <c r="E339" s="4">
        <v>7</v>
      </c>
      <c r="F339" s="8">
        <v>0.78</v>
      </c>
      <c r="G339" s="4">
        <v>53</v>
      </c>
      <c r="H339" s="8">
        <v>5.29</v>
      </c>
      <c r="I339" s="4">
        <v>0</v>
      </c>
    </row>
    <row r="340" spans="1:9" x14ac:dyDescent="0.15">
      <c r="A340" s="2">
        <v>5</v>
      </c>
      <c r="B340" s="1" t="s">
        <v>151</v>
      </c>
      <c r="C340" s="4">
        <v>54</v>
      </c>
      <c r="D340" s="8">
        <v>2.84</v>
      </c>
      <c r="E340" s="4">
        <v>50</v>
      </c>
      <c r="F340" s="8">
        <v>5.57</v>
      </c>
      <c r="G340" s="4">
        <v>4</v>
      </c>
      <c r="H340" s="8">
        <v>0.4</v>
      </c>
      <c r="I340" s="4">
        <v>0</v>
      </c>
    </row>
    <row r="341" spans="1:9" x14ac:dyDescent="0.15">
      <c r="A341" s="2">
        <v>6</v>
      </c>
      <c r="B341" s="1" t="s">
        <v>156</v>
      </c>
      <c r="C341" s="4">
        <v>50</v>
      </c>
      <c r="D341" s="8">
        <v>2.63</v>
      </c>
      <c r="E341" s="4">
        <v>39</v>
      </c>
      <c r="F341" s="8">
        <v>4.3499999999999996</v>
      </c>
      <c r="G341" s="4">
        <v>11</v>
      </c>
      <c r="H341" s="8">
        <v>1.1000000000000001</v>
      </c>
      <c r="I341" s="4">
        <v>0</v>
      </c>
    </row>
    <row r="342" spans="1:9" x14ac:dyDescent="0.15">
      <c r="A342" s="2">
        <v>7</v>
      </c>
      <c r="B342" s="1" t="s">
        <v>152</v>
      </c>
      <c r="C342" s="4">
        <v>49</v>
      </c>
      <c r="D342" s="8">
        <v>2.58</v>
      </c>
      <c r="E342" s="4">
        <v>44</v>
      </c>
      <c r="F342" s="8">
        <v>4.91</v>
      </c>
      <c r="G342" s="4">
        <v>5</v>
      </c>
      <c r="H342" s="8">
        <v>0.5</v>
      </c>
      <c r="I342" s="4">
        <v>0</v>
      </c>
    </row>
    <row r="343" spans="1:9" x14ac:dyDescent="0.15">
      <c r="A343" s="2">
        <v>8</v>
      </c>
      <c r="B343" s="1" t="s">
        <v>153</v>
      </c>
      <c r="C343" s="4">
        <v>43</v>
      </c>
      <c r="D343" s="8">
        <v>2.2599999999999998</v>
      </c>
      <c r="E343" s="4">
        <v>30</v>
      </c>
      <c r="F343" s="8">
        <v>3.34</v>
      </c>
      <c r="G343" s="4">
        <v>13</v>
      </c>
      <c r="H343" s="8">
        <v>1.3</v>
      </c>
      <c r="I343" s="4">
        <v>0</v>
      </c>
    </row>
    <row r="344" spans="1:9" x14ac:dyDescent="0.15">
      <c r="A344" s="2">
        <v>8</v>
      </c>
      <c r="B344" s="1" t="s">
        <v>157</v>
      </c>
      <c r="C344" s="4">
        <v>43</v>
      </c>
      <c r="D344" s="8">
        <v>2.2599999999999998</v>
      </c>
      <c r="E344" s="4">
        <v>39</v>
      </c>
      <c r="F344" s="8">
        <v>4.3499999999999996</v>
      </c>
      <c r="G344" s="4">
        <v>4</v>
      </c>
      <c r="H344" s="8">
        <v>0.4</v>
      </c>
      <c r="I344" s="4">
        <v>0</v>
      </c>
    </row>
    <row r="345" spans="1:9" x14ac:dyDescent="0.15">
      <c r="A345" s="2">
        <v>10</v>
      </c>
      <c r="B345" s="1" t="s">
        <v>139</v>
      </c>
      <c r="C345" s="4">
        <v>40</v>
      </c>
      <c r="D345" s="8">
        <v>2.11</v>
      </c>
      <c r="E345" s="4">
        <v>7</v>
      </c>
      <c r="F345" s="8">
        <v>0.78</v>
      </c>
      <c r="G345" s="4">
        <v>33</v>
      </c>
      <c r="H345" s="8">
        <v>3.3</v>
      </c>
      <c r="I345" s="4">
        <v>0</v>
      </c>
    </row>
    <row r="346" spans="1:9" x14ac:dyDescent="0.15">
      <c r="A346" s="2">
        <v>11</v>
      </c>
      <c r="B346" s="1" t="s">
        <v>144</v>
      </c>
      <c r="C346" s="4">
        <v>39</v>
      </c>
      <c r="D346" s="8">
        <v>2.0499999999999998</v>
      </c>
      <c r="E346" s="4">
        <v>10</v>
      </c>
      <c r="F346" s="8">
        <v>1.1100000000000001</v>
      </c>
      <c r="G346" s="4">
        <v>29</v>
      </c>
      <c r="H346" s="8">
        <v>2.9</v>
      </c>
      <c r="I346" s="4">
        <v>0</v>
      </c>
    </row>
    <row r="347" spans="1:9" x14ac:dyDescent="0.15">
      <c r="A347" s="2">
        <v>12</v>
      </c>
      <c r="B347" s="1" t="s">
        <v>150</v>
      </c>
      <c r="C347" s="4">
        <v>38</v>
      </c>
      <c r="D347" s="8">
        <v>2</v>
      </c>
      <c r="E347" s="4">
        <v>33</v>
      </c>
      <c r="F347" s="8">
        <v>3.68</v>
      </c>
      <c r="G347" s="4">
        <v>5</v>
      </c>
      <c r="H347" s="8">
        <v>0.5</v>
      </c>
      <c r="I347" s="4">
        <v>0</v>
      </c>
    </row>
    <row r="348" spans="1:9" x14ac:dyDescent="0.15">
      <c r="A348" s="2">
        <v>13</v>
      </c>
      <c r="B348" s="1" t="s">
        <v>145</v>
      </c>
      <c r="C348" s="4">
        <v>32</v>
      </c>
      <c r="D348" s="8">
        <v>1.69</v>
      </c>
      <c r="E348" s="4">
        <v>22</v>
      </c>
      <c r="F348" s="8">
        <v>2.4500000000000002</v>
      </c>
      <c r="G348" s="4">
        <v>10</v>
      </c>
      <c r="H348" s="8">
        <v>1</v>
      </c>
      <c r="I348" s="4">
        <v>0</v>
      </c>
    </row>
    <row r="349" spans="1:9" x14ac:dyDescent="0.15">
      <c r="A349" s="2">
        <v>14</v>
      </c>
      <c r="B349" s="1" t="s">
        <v>158</v>
      </c>
      <c r="C349" s="4">
        <v>31</v>
      </c>
      <c r="D349" s="8">
        <v>1.63</v>
      </c>
      <c r="E349" s="4">
        <v>4</v>
      </c>
      <c r="F349" s="8">
        <v>0.45</v>
      </c>
      <c r="G349" s="4">
        <v>27</v>
      </c>
      <c r="H349" s="8">
        <v>2.7</v>
      </c>
      <c r="I349" s="4">
        <v>0</v>
      </c>
    </row>
    <row r="350" spans="1:9" x14ac:dyDescent="0.15">
      <c r="A350" s="2">
        <v>14</v>
      </c>
      <c r="B350" s="1" t="s">
        <v>140</v>
      </c>
      <c r="C350" s="4">
        <v>31</v>
      </c>
      <c r="D350" s="8">
        <v>1.63</v>
      </c>
      <c r="E350" s="4">
        <v>1</v>
      </c>
      <c r="F350" s="8">
        <v>0.11</v>
      </c>
      <c r="G350" s="4">
        <v>30</v>
      </c>
      <c r="H350" s="8">
        <v>3</v>
      </c>
      <c r="I350" s="4">
        <v>0</v>
      </c>
    </row>
    <row r="351" spans="1:9" x14ac:dyDescent="0.15">
      <c r="A351" s="2">
        <v>16</v>
      </c>
      <c r="B351" s="1" t="s">
        <v>138</v>
      </c>
      <c r="C351" s="4">
        <v>30</v>
      </c>
      <c r="D351" s="8">
        <v>1.58</v>
      </c>
      <c r="E351" s="4">
        <v>3</v>
      </c>
      <c r="F351" s="8">
        <v>0.33</v>
      </c>
      <c r="G351" s="4">
        <v>27</v>
      </c>
      <c r="H351" s="8">
        <v>2.7</v>
      </c>
      <c r="I351" s="4">
        <v>0</v>
      </c>
    </row>
    <row r="352" spans="1:9" x14ac:dyDescent="0.15">
      <c r="A352" s="2">
        <v>16</v>
      </c>
      <c r="B352" s="1" t="s">
        <v>171</v>
      </c>
      <c r="C352" s="4">
        <v>30</v>
      </c>
      <c r="D352" s="8">
        <v>1.58</v>
      </c>
      <c r="E352" s="4">
        <v>8</v>
      </c>
      <c r="F352" s="8">
        <v>0.89</v>
      </c>
      <c r="G352" s="4">
        <v>22</v>
      </c>
      <c r="H352" s="8">
        <v>2.2000000000000002</v>
      </c>
      <c r="I352" s="4">
        <v>0</v>
      </c>
    </row>
    <row r="353" spans="1:9" x14ac:dyDescent="0.15">
      <c r="A353" s="2">
        <v>16</v>
      </c>
      <c r="B353" s="1" t="s">
        <v>143</v>
      </c>
      <c r="C353" s="4">
        <v>30</v>
      </c>
      <c r="D353" s="8">
        <v>1.58</v>
      </c>
      <c r="E353" s="4">
        <v>19</v>
      </c>
      <c r="F353" s="8">
        <v>2.12</v>
      </c>
      <c r="G353" s="4">
        <v>11</v>
      </c>
      <c r="H353" s="8">
        <v>1.1000000000000001</v>
      </c>
      <c r="I353" s="4">
        <v>0</v>
      </c>
    </row>
    <row r="354" spans="1:9" x14ac:dyDescent="0.15">
      <c r="A354" s="2">
        <v>19</v>
      </c>
      <c r="B354" s="1" t="s">
        <v>147</v>
      </c>
      <c r="C354" s="4">
        <v>29</v>
      </c>
      <c r="D354" s="8">
        <v>1.53</v>
      </c>
      <c r="E354" s="4">
        <v>8</v>
      </c>
      <c r="F354" s="8">
        <v>0.89</v>
      </c>
      <c r="G354" s="4">
        <v>21</v>
      </c>
      <c r="H354" s="8">
        <v>2.1</v>
      </c>
      <c r="I354" s="4">
        <v>0</v>
      </c>
    </row>
    <row r="355" spans="1:9" x14ac:dyDescent="0.15">
      <c r="A355" s="2">
        <v>20</v>
      </c>
      <c r="B355" s="1" t="s">
        <v>174</v>
      </c>
      <c r="C355" s="4">
        <v>27</v>
      </c>
      <c r="D355" s="8">
        <v>1.42</v>
      </c>
      <c r="E355" s="4">
        <v>6</v>
      </c>
      <c r="F355" s="8">
        <v>0.67</v>
      </c>
      <c r="G355" s="4">
        <v>21</v>
      </c>
      <c r="H355" s="8">
        <v>2.1</v>
      </c>
      <c r="I355" s="4">
        <v>0</v>
      </c>
    </row>
    <row r="356" spans="1:9" x14ac:dyDescent="0.15">
      <c r="A356" s="1"/>
      <c r="C356" s="4"/>
      <c r="D356" s="8"/>
      <c r="E356" s="4"/>
      <c r="F356" s="8"/>
      <c r="G356" s="4"/>
      <c r="H356" s="8"/>
      <c r="I356" s="4"/>
    </row>
    <row r="357" spans="1:9" x14ac:dyDescent="0.15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15">
      <c r="A358" s="2">
        <v>1</v>
      </c>
      <c r="B358" s="1" t="s">
        <v>148</v>
      </c>
      <c r="C358" s="4">
        <v>90</v>
      </c>
      <c r="D358" s="8">
        <v>7.31</v>
      </c>
      <c r="E358" s="4">
        <v>54</v>
      </c>
      <c r="F358" s="8">
        <v>10.82</v>
      </c>
      <c r="G358" s="4">
        <v>36</v>
      </c>
      <c r="H358" s="8">
        <v>4.92</v>
      </c>
      <c r="I358" s="4">
        <v>0</v>
      </c>
    </row>
    <row r="359" spans="1:9" x14ac:dyDescent="0.15">
      <c r="A359" s="2">
        <v>2</v>
      </c>
      <c r="B359" s="1" t="s">
        <v>155</v>
      </c>
      <c r="C359" s="4">
        <v>60</v>
      </c>
      <c r="D359" s="8">
        <v>4.87</v>
      </c>
      <c r="E359" s="4">
        <v>54</v>
      </c>
      <c r="F359" s="8">
        <v>10.82</v>
      </c>
      <c r="G359" s="4">
        <v>6</v>
      </c>
      <c r="H359" s="8">
        <v>0.82</v>
      </c>
      <c r="I359" s="4">
        <v>0</v>
      </c>
    </row>
    <row r="360" spans="1:9" x14ac:dyDescent="0.15">
      <c r="A360" s="2">
        <v>3</v>
      </c>
      <c r="B360" s="1" t="s">
        <v>154</v>
      </c>
      <c r="C360" s="4">
        <v>48</v>
      </c>
      <c r="D360" s="8">
        <v>3.9</v>
      </c>
      <c r="E360" s="4">
        <v>38</v>
      </c>
      <c r="F360" s="8">
        <v>7.62</v>
      </c>
      <c r="G360" s="4">
        <v>10</v>
      </c>
      <c r="H360" s="8">
        <v>1.37</v>
      </c>
      <c r="I360" s="4">
        <v>0</v>
      </c>
    </row>
    <row r="361" spans="1:9" x14ac:dyDescent="0.15">
      <c r="A361" s="2">
        <v>4</v>
      </c>
      <c r="B361" s="1" t="s">
        <v>153</v>
      </c>
      <c r="C361" s="4">
        <v>37</v>
      </c>
      <c r="D361" s="8">
        <v>3</v>
      </c>
      <c r="E361" s="4">
        <v>21</v>
      </c>
      <c r="F361" s="8">
        <v>4.21</v>
      </c>
      <c r="G361" s="4">
        <v>16</v>
      </c>
      <c r="H361" s="8">
        <v>2.19</v>
      </c>
      <c r="I361" s="4">
        <v>0</v>
      </c>
    </row>
    <row r="362" spans="1:9" x14ac:dyDescent="0.15">
      <c r="A362" s="2">
        <v>4</v>
      </c>
      <c r="B362" s="1" t="s">
        <v>156</v>
      </c>
      <c r="C362" s="4">
        <v>37</v>
      </c>
      <c r="D362" s="8">
        <v>3</v>
      </c>
      <c r="E362" s="4">
        <v>33</v>
      </c>
      <c r="F362" s="8">
        <v>6.61</v>
      </c>
      <c r="G362" s="4">
        <v>4</v>
      </c>
      <c r="H362" s="8">
        <v>0.55000000000000004</v>
      </c>
      <c r="I362" s="4">
        <v>0</v>
      </c>
    </row>
    <row r="363" spans="1:9" x14ac:dyDescent="0.15">
      <c r="A363" s="2">
        <v>6</v>
      </c>
      <c r="B363" s="1" t="s">
        <v>157</v>
      </c>
      <c r="C363" s="4">
        <v>31</v>
      </c>
      <c r="D363" s="8">
        <v>2.52</v>
      </c>
      <c r="E363" s="4">
        <v>26</v>
      </c>
      <c r="F363" s="8">
        <v>5.21</v>
      </c>
      <c r="G363" s="4">
        <v>5</v>
      </c>
      <c r="H363" s="8">
        <v>0.68</v>
      </c>
      <c r="I363" s="4">
        <v>0</v>
      </c>
    </row>
    <row r="364" spans="1:9" x14ac:dyDescent="0.15">
      <c r="A364" s="2">
        <v>7</v>
      </c>
      <c r="B364" s="1" t="s">
        <v>141</v>
      </c>
      <c r="C364" s="4">
        <v>27</v>
      </c>
      <c r="D364" s="8">
        <v>2.19</v>
      </c>
      <c r="E364" s="4">
        <v>1</v>
      </c>
      <c r="F364" s="8">
        <v>0.2</v>
      </c>
      <c r="G364" s="4">
        <v>26</v>
      </c>
      <c r="H364" s="8">
        <v>3.55</v>
      </c>
      <c r="I364" s="4">
        <v>0</v>
      </c>
    </row>
    <row r="365" spans="1:9" x14ac:dyDescent="0.15">
      <c r="A365" s="2">
        <v>7</v>
      </c>
      <c r="B365" s="1" t="s">
        <v>149</v>
      </c>
      <c r="C365" s="4">
        <v>27</v>
      </c>
      <c r="D365" s="8">
        <v>2.19</v>
      </c>
      <c r="E365" s="4">
        <v>1</v>
      </c>
      <c r="F365" s="8">
        <v>0.2</v>
      </c>
      <c r="G365" s="4">
        <v>26</v>
      </c>
      <c r="H365" s="8">
        <v>3.55</v>
      </c>
      <c r="I365" s="4">
        <v>0</v>
      </c>
    </row>
    <row r="366" spans="1:9" x14ac:dyDescent="0.15">
      <c r="A366" s="2">
        <v>9</v>
      </c>
      <c r="B366" s="1" t="s">
        <v>158</v>
      </c>
      <c r="C366" s="4">
        <v>24</v>
      </c>
      <c r="D366" s="8">
        <v>1.95</v>
      </c>
      <c r="E366" s="4">
        <v>0</v>
      </c>
      <c r="F366" s="8">
        <v>0</v>
      </c>
      <c r="G366" s="4">
        <v>24</v>
      </c>
      <c r="H366" s="8">
        <v>3.28</v>
      </c>
      <c r="I366" s="4">
        <v>0</v>
      </c>
    </row>
    <row r="367" spans="1:9" x14ac:dyDescent="0.15">
      <c r="A367" s="2">
        <v>10</v>
      </c>
      <c r="B367" s="1" t="s">
        <v>174</v>
      </c>
      <c r="C367" s="4">
        <v>23</v>
      </c>
      <c r="D367" s="8">
        <v>1.87</v>
      </c>
      <c r="E367" s="4">
        <v>3</v>
      </c>
      <c r="F367" s="8">
        <v>0.6</v>
      </c>
      <c r="G367" s="4">
        <v>20</v>
      </c>
      <c r="H367" s="8">
        <v>2.73</v>
      </c>
      <c r="I367" s="4">
        <v>0</v>
      </c>
    </row>
    <row r="368" spans="1:9" x14ac:dyDescent="0.15">
      <c r="A368" s="2">
        <v>11</v>
      </c>
      <c r="B368" s="1" t="s">
        <v>139</v>
      </c>
      <c r="C368" s="4">
        <v>22</v>
      </c>
      <c r="D368" s="8">
        <v>1.79</v>
      </c>
      <c r="E368" s="4">
        <v>2</v>
      </c>
      <c r="F368" s="8">
        <v>0.4</v>
      </c>
      <c r="G368" s="4">
        <v>20</v>
      </c>
      <c r="H368" s="8">
        <v>2.73</v>
      </c>
      <c r="I368" s="4">
        <v>0</v>
      </c>
    </row>
    <row r="369" spans="1:9" x14ac:dyDescent="0.15">
      <c r="A369" s="2">
        <v>11</v>
      </c>
      <c r="B369" s="1" t="s">
        <v>171</v>
      </c>
      <c r="C369" s="4">
        <v>22</v>
      </c>
      <c r="D369" s="8">
        <v>1.79</v>
      </c>
      <c r="E369" s="4">
        <v>7</v>
      </c>
      <c r="F369" s="8">
        <v>1.4</v>
      </c>
      <c r="G369" s="4">
        <v>15</v>
      </c>
      <c r="H369" s="8">
        <v>2.0499999999999998</v>
      </c>
      <c r="I369" s="4">
        <v>0</v>
      </c>
    </row>
    <row r="370" spans="1:9" x14ac:dyDescent="0.15">
      <c r="A370" s="2">
        <v>13</v>
      </c>
      <c r="B370" s="1" t="s">
        <v>163</v>
      </c>
      <c r="C370" s="4">
        <v>21</v>
      </c>
      <c r="D370" s="8">
        <v>1.7</v>
      </c>
      <c r="E370" s="4">
        <v>19</v>
      </c>
      <c r="F370" s="8">
        <v>3.81</v>
      </c>
      <c r="G370" s="4">
        <v>2</v>
      </c>
      <c r="H370" s="8">
        <v>0.27</v>
      </c>
      <c r="I370" s="4">
        <v>0</v>
      </c>
    </row>
    <row r="371" spans="1:9" x14ac:dyDescent="0.15">
      <c r="A371" s="2">
        <v>14</v>
      </c>
      <c r="B371" s="1" t="s">
        <v>138</v>
      </c>
      <c r="C371" s="4">
        <v>20</v>
      </c>
      <c r="D371" s="8">
        <v>1.62</v>
      </c>
      <c r="E371" s="4">
        <v>0</v>
      </c>
      <c r="F371" s="8">
        <v>0</v>
      </c>
      <c r="G371" s="4">
        <v>20</v>
      </c>
      <c r="H371" s="8">
        <v>2.73</v>
      </c>
      <c r="I371" s="4">
        <v>0</v>
      </c>
    </row>
    <row r="372" spans="1:9" x14ac:dyDescent="0.15">
      <c r="A372" s="2">
        <v>14</v>
      </c>
      <c r="B372" s="1" t="s">
        <v>145</v>
      </c>
      <c r="C372" s="4">
        <v>20</v>
      </c>
      <c r="D372" s="8">
        <v>1.62</v>
      </c>
      <c r="E372" s="4">
        <v>7</v>
      </c>
      <c r="F372" s="8">
        <v>1.4</v>
      </c>
      <c r="G372" s="4">
        <v>13</v>
      </c>
      <c r="H372" s="8">
        <v>1.78</v>
      </c>
      <c r="I372" s="4">
        <v>0</v>
      </c>
    </row>
    <row r="373" spans="1:9" x14ac:dyDescent="0.15">
      <c r="A373" s="2">
        <v>16</v>
      </c>
      <c r="B373" s="1" t="s">
        <v>144</v>
      </c>
      <c r="C373" s="4">
        <v>19</v>
      </c>
      <c r="D373" s="8">
        <v>1.54</v>
      </c>
      <c r="E373" s="4">
        <v>7</v>
      </c>
      <c r="F373" s="8">
        <v>1.4</v>
      </c>
      <c r="G373" s="4">
        <v>12</v>
      </c>
      <c r="H373" s="8">
        <v>1.64</v>
      </c>
      <c r="I373" s="4">
        <v>0</v>
      </c>
    </row>
    <row r="374" spans="1:9" x14ac:dyDescent="0.15">
      <c r="A374" s="2">
        <v>16</v>
      </c>
      <c r="B374" s="1" t="s">
        <v>159</v>
      </c>
      <c r="C374" s="4">
        <v>19</v>
      </c>
      <c r="D374" s="8">
        <v>1.54</v>
      </c>
      <c r="E374" s="4">
        <v>5</v>
      </c>
      <c r="F374" s="8">
        <v>1</v>
      </c>
      <c r="G374" s="4">
        <v>14</v>
      </c>
      <c r="H374" s="8">
        <v>1.91</v>
      </c>
      <c r="I374" s="4">
        <v>0</v>
      </c>
    </row>
    <row r="375" spans="1:9" x14ac:dyDescent="0.15">
      <c r="A375" s="2">
        <v>18</v>
      </c>
      <c r="B375" s="1" t="s">
        <v>160</v>
      </c>
      <c r="C375" s="4">
        <v>16</v>
      </c>
      <c r="D375" s="8">
        <v>1.3</v>
      </c>
      <c r="E375" s="4">
        <v>4</v>
      </c>
      <c r="F375" s="8">
        <v>0.8</v>
      </c>
      <c r="G375" s="4">
        <v>12</v>
      </c>
      <c r="H375" s="8">
        <v>1.64</v>
      </c>
      <c r="I375" s="4">
        <v>0</v>
      </c>
    </row>
    <row r="376" spans="1:9" x14ac:dyDescent="0.15">
      <c r="A376" s="2">
        <v>18</v>
      </c>
      <c r="B376" s="1" t="s">
        <v>140</v>
      </c>
      <c r="C376" s="4">
        <v>16</v>
      </c>
      <c r="D376" s="8">
        <v>1.3</v>
      </c>
      <c r="E376" s="4">
        <v>3</v>
      </c>
      <c r="F376" s="8">
        <v>0.6</v>
      </c>
      <c r="G376" s="4">
        <v>13</v>
      </c>
      <c r="H376" s="8">
        <v>1.78</v>
      </c>
      <c r="I376" s="4">
        <v>0</v>
      </c>
    </row>
    <row r="377" spans="1:9" x14ac:dyDescent="0.15">
      <c r="A377" s="2">
        <v>18</v>
      </c>
      <c r="B377" s="1" t="s">
        <v>162</v>
      </c>
      <c r="C377" s="4">
        <v>16</v>
      </c>
      <c r="D377" s="8">
        <v>1.3</v>
      </c>
      <c r="E377" s="4">
        <v>16</v>
      </c>
      <c r="F377" s="8">
        <v>3.21</v>
      </c>
      <c r="G377" s="4">
        <v>0</v>
      </c>
      <c r="H377" s="8">
        <v>0</v>
      </c>
      <c r="I377" s="4">
        <v>0</v>
      </c>
    </row>
    <row r="378" spans="1:9" x14ac:dyDescent="0.15">
      <c r="A378" s="2">
        <v>18</v>
      </c>
      <c r="B378" s="1" t="s">
        <v>150</v>
      </c>
      <c r="C378" s="4">
        <v>16</v>
      </c>
      <c r="D378" s="8">
        <v>1.3</v>
      </c>
      <c r="E378" s="4">
        <v>11</v>
      </c>
      <c r="F378" s="8">
        <v>2.2000000000000002</v>
      </c>
      <c r="G378" s="4">
        <v>5</v>
      </c>
      <c r="H378" s="8">
        <v>0.68</v>
      </c>
      <c r="I378" s="4">
        <v>0</v>
      </c>
    </row>
    <row r="379" spans="1:9" x14ac:dyDescent="0.15">
      <c r="A379" s="1"/>
      <c r="C379" s="4"/>
      <c r="D379" s="8"/>
      <c r="E379" s="4"/>
      <c r="F379" s="8"/>
      <c r="G379" s="4"/>
      <c r="H379" s="8"/>
      <c r="I379" s="4"/>
    </row>
    <row r="380" spans="1:9" x14ac:dyDescent="0.15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15">
      <c r="A381" s="2">
        <v>1</v>
      </c>
      <c r="B381" s="1" t="s">
        <v>155</v>
      </c>
      <c r="C381" s="4">
        <v>100</v>
      </c>
      <c r="D381" s="8">
        <v>4.72</v>
      </c>
      <c r="E381" s="4">
        <v>86</v>
      </c>
      <c r="F381" s="8">
        <v>9.74</v>
      </c>
      <c r="G381" s="4">
        <v>14</v>
      </c>
      <c r="H381" s="8">
        <v>1.1399999999999999</v>
      </c>
      <c r="I381" s="4">
        <v>0</v>
      </c>
    </row>
    <row r="382" spans="1:9" x14ac:dyDescent="0.15">
      <c r="A382" s="2">
        <v>2</v>
      </c>
      <c r="B382" s="1" t="s">
        <v>148</v>
      </c>
      <c r="C382" s="4">
        <v>82</v>
      </c>
      <c r="D382" s="8">
        <v>3.87</v>
      </c>
      <c r="E382" s="4">
        <v>42</v>
      </c>
      <c r="F382" s="8">
        <v>4.76</v>
      </c>
      <c r="G382" s="4">
        <v>40</v>
      </c>
      <c r="H382" s="8">
        <v>3.25</v>
      </c>
      <c r="I382" s="4">
        <v>0</v>
      </c>
    </row>
    <row r="383" spans="1:9" x14ac:dyDescent="0.15">
      <c r="A383" s="2">
        <v>3</v>
      </c>
      <c r="B383" s="1" t="s">
        <v>156</v>
      </c>
      <c r="C383" s="4">
        <v>70</v>
      </c>
      <c r="D383" s="8">
        <v>3.31</v>
      </c>
      <c r="E383" s="4">
        <v>54</v>
      </c>
      <c r="F383" s="8">
        <v>6.12</v>
      </c>
      <c r="G383" s="4">
        <v>16</v>
      </c>
      <c r="H383" s="8">
        <v>1.3</v>
      </c>
      <c r="I383" s="4">
        <v>0</v>
      </c>
    </row>
    <row r="384" spans="1:9" x14ac:dyDescent="0.15">
      <c r="A384" s="2">
        <v>4</v>
      </c>
      <c r="B384" s="1" t="s">
        <v>154</v>
      </c>
      <c r="C384" s="4">
        <v>60</v>
      </c>
      <c r="D384" s="8">
        <v>2.83</v>
      </c>
      <c r="E384" s="4">
        <v>55</v>
      </c>
      <c r="F384" s="8">
        <v>6.23</v>
      </c>
      <c r="G384" s="4">
        <v>5</v>
      </c>
      <c r="H384" s="8">
        <v>0.41</v>
      </c>
      <c r="I384" s="4">
        <v>0</v>
      </c>
    </row>
    <row r="385" spans="1:9" x14ac:dyDescent="0.15">
      <c r="A385" s="2">
        <v>5</v>
      </c>
      <c r="B385" s="1" t="s">
        <v>141</v>
      </c>
      <c r="C385" s="4">
        <v>59</v>
      </c>
      <c r="D385" s="8">
        <v>2.79</v>
      </c>
      <c r="E385" s="4">
        <v>8</v>
      </c>
      <c r="F385" s="8">
        <v>0.91</v>
      </c>
      <c r="G385" s="4">
        <v>51</v>
      </c>
      <c r="H385" s="8">
        <v>4.1399999999999997</v>
      </c>
      <c r="I385" s="4">
        <v>0</v>
      </c>
    </row>
    <row r="386" spans="1:9" x14ac:dyDescent="0.15">
      <c r="A386" s="2">
        <v>6</v>
      </c>
      <c r="B386" s="1" t="s">
        <v>157</v>
      </c>
      <c r="C386" s="4">
        <v>55</v>
      </c>
      <c r="D386" s="8">
        <v>2.6</v>
      </c>
      <c r="E386" s="4">
        <v>47</v>
      </c>
      <c r="F386" s="8">
        <v>5.32</v>
      </c>
      <c r="G386" s="4">
        <v>8</v>
      </c>
      <c r="H386" s="8">
        <v>0.65</v>
      </c>
      <c r="I386" s="4">
        <v>0</v>
      </c>
    </row>
    <row r="387" spans="1:9" x14ac:dyDescent="0.15">
      <c r="A387" s="2">
        <v>7</v>
      </c>
      <c r="B387" s="1" t="s">
        <v>138</v>
      </c>
      <c r="C387" s="4">
        <v>53</v>
      </c>
      <c r="D387" s="8">
        <v>2.5</v>
      </c>
      <c r="E387" s="4">
        <v>6</v>
      </c>
      <c r="F387" s="8">
        <v>0.68</v>
      </c>
      <c r="G387" s="4">
        <v>47</v>
      </c>
      <c r="H387" s="8">
        <v>3.81</v>
      </c>
      <c r="I387" s="4">
        <v>0</v>
      </c>
    </row>
    <row r="388" spans="1:9" x14ac:dyDescent="0.15">
      <c r="A388" s="2">
        <v>7</v>
      </c>
      <c r="B388" s="1" t="s">
        <v>158</v>
      </c>
      <c r="C388" s="4">
        <v>53</v>
      </c>
      <c r="D388" s="8">
        <v>2.5</v>
      </c>
      <c r="E388" s="4">
        <v>15</v>
      </c>
      <c r="F388" s="8">
        <v>1.7</v>
      </c>
      <c r="G388" s="4">
        <v>38</v>
      </c>
      <c r="H388" s="8">
        <v>3.08</v>
      </c>
      <c r="I388" s="4">
        <v>0</v>
      </c>
    </row>
    <row r="389" spans="1:9" x14ac:dyDescent="0.15">
      <c r="A389" s="2">
        <v>9</v>
      </c>
      <c r="B389" s="1" t="s">
        <v>140</v>
      </c>
      <c r="C389" s="4">
        <v>49</v>
      </c>
      <c r="D389" s="8">
        <v>2.31</v>
      </c>
      <c r="E389" s="4">
        <v>11</v>
      </c>
      <c r="F389" s="8">
        <v>1.25</v>
      </c>
      <c r="G389" s="4">
        <v>38</v>
      </c>
      <c r="H389" s="8">
        <v>3.08</v>
      </c>
      <c r="I389" s="4">
        <v>0</v>
      </c>
    </row>
    <row r="390" spans="1:9" x14ac:dyDescent="0.15">
      <c r="A390" s="2">
        <v>10</v>
      </c>
      <c r="B390" s="1" t="s">
        <v>174</v>
      </c>
      <c r="C390" s="4">
        <v>48</v>
      </c>
      <c r="D390" s="8">
        <v>2.27</v>
      </c>
      <c r="E390" s="4">
        <v>18</v>
      </c>
      <c r="F390" s="8">
        <v>2.04</v>
      </c>
      <c r="G390" s="4">
        <v>30</v>
      </c>
      <c r="H390" s="8">
        <v>2.44</v>
      </c>
      <c r="I390" s="4">
        <v>0</v>
      </c>
    </row>
    <row r="391" spans="1:9" x14ac:dyDescent="0.15">
      <c r="A391" s="2">
        <v>11</v>
      </c>
      <c r="B391" s="1" t="s">
        <v>139</v>
      </c>
      <c r="C391" s="4">
        <v>44</v>
      </c>
      <c r="D391" s="8">
        <v>2.08</v>
      </c>
      <c r="E391" s="4">
        <v>3</v>
      </c>
      <c r="F391" s="8">
        <v>0.34</v>
      </c>
      <c r="G391" s="4">
        <v>41</v>
      </c>
      <c r="H391" s="8">
        <v>3.33</v>
      </c>
      <c r="I391" s="4">
        <v>0</v>
      </c>
    </row>
    <row r="392" spans="1:9" x14ac:dyDescent="0.15">
      <c r="A392" s="2">
        <v>12</v>
      </c>
      <c r="B392" s="1" t="s">
        <v>153</v>
      </c>
      <c r="C392" s="4">
        <v>41</v>
      </c>
      <c r="D392" s="8">
        <v>1.94</v>
      </c>
      <c r="E392" s="4">
        <v>18</v>
      </c>
      <c r="F392" s="8">
        <v>2.04</v>
      </c>
      <c r="G392" s="4">
        <v>23</v>
      </c>
      <c r="H392" s="8">
        <v>1.87</v>
      </c>
      <c r="I392" s="4">
        <v>0</v>
      </c>
    </row>
    <row r="393" spans="1:9" x14ac:dyDescent="0.15">
      <c r="A393" s="2">
        <v>13</v>
      </c>
      <c r="B393" s="1" t="s">
        <v>181</v>
      </c>
      <c r="C393" s="4">
        <v>40</v>
      </c>
      <c r="D393" s="8">
        <v>1.89</v>
      </c>
      <c r="E393" s="4">
        <v>28</v>
      </c>
      <c r="F393" s="8">
        <v>3.17</v>
      </c>
      <c r="G393" s="4">
        <v>12</v>
      </c>
      <c r="H393" s="8">
        <v>0.97</v>
      </c>
      <c r="I393" s="4">
        <v>0</v>
      </c>
    </row>
    <row r="394" spans="1:9" x14ac:dyDescent="0.15">
      <c r="A394" s="2">
        <v>14</v>
      </c>
      <c r="B394" s="1" t="s">
        <v>175</v>
      </c>
      <c r="C394" s="4">
        <v>38</v>
      </c>
      <c r="D394" s="8">
        <v>1.79</v>
      </c>
      <c r="E394" s="4">
        <v>27</v>
      </c>
      <c r="F394" s="8">
        <v>3.06</v>
      </c>
      <c r="G394" s="4">
        <v>11</v>
      </c>
      <c r="H394" s="8">
        <v>0.89</v>
      </c>
      <c r="I394" s="4">
        <v>0</v>
      </c>
    </row>
    <row r="395" spans="1:9" x14ac:dyDescent="0.15">
      <c r="A395" s="2">
        <v>15</v>
      </c>
      <c r="B395" s="1" t="s">
        <v>179</v>
      </c>
      <c r="C395" s="4">
        <v>33</v>
      </c>
      <c r="D395" s="8">
        <v>1.56</v>
      </c>
      <c r="E395" s="4">
        <v>8</v>
      </c>
      <c r="F395" s="8">
        <v>0.91</v>
      </c>
      <c r="G395" s="4">
        <v>25</v>
      </c>
      <c r="H395" s="8">
        <v>2.0299999999999998</v>
      </c>
      <c r="I395" s="4">
        <v>0</v>
      </c>
    </row>
    <row r="396" spans="1:9" x14ac:dyDescent="0.15">
      <c r="A396" s="2">
        <v>15</v>
      </c>
      <c r="B396" s="1" t="s">
        <v>145</v>
      </c>
      <c r="C396" s="4">
        <v>33</v>
      </c>
      <c r="D396" s="8">
        <v>1.56</v>
      </c>
      <c r="E396" s="4">
        <v>13</v>
      </c>
      <c r="F396" s="8">
        <v>1.47</v>
      </c>
      <c r="G396" s="4">
        <v>20</v>
      </c>
      <c r="H396" s="8">
        <v>1.62</v>
      </c>
      <c r="I396" s="4">
        <v>0</v>
      </c>
    </row>
    <row r="397" spans="1:9" x14ac:dyDescent="0.15">
      <c r="A397" s="2">
        <v>17</v>
      </c>
      <c r="B397" s="1" t="s">
        <v>152</v>
      </c>
      <c r="C397" s="4">
        <v>32</v>
      </c>
      <c r="D397" s="8">
        <v>1.51</v>
      </c>
      <c r="E397" s="4">
        <v>31</v>
      </c>
      <c r="F397" s="8">
        <v>3.51</v>
      </c>
      <c r="G397" s="4">
        <v>1</v>
      </c>
      <c r="H397" s="8">
        <v>0.08</v>
      </c>
      <c r="I397" s="4">
        <v>0</v>
      </c>
    </row>
    <row r="398" spans="1:9" x14ac:dyDescent="0.15">
      <c r="A398" s="2">
        <v>18</v>
      </c>
      <c r="B398" s="1" t="s">
        <v>149</v>
      </c>
      <c r="C398" s="4">
        <v>31</v>
      </c>
      <c r="D398" s="8">
        <v>1.46</v>
      </c>
      <c r="E398" s="4">
        <v>1</v>
      </c>
      <c r="F398" s="8">
        <v>0.11</v>
      </c>
      <c r="G398" s="4">
        <v>30</v>
      </c>
      <c r="H398" s="8">
        <v>2.44</v>
      </c>
      <c r="I398" s="4">
        <v>0</v>
      </c>
    </row>
    <row r="399" spans="1:9" x14ac:dyDescent="0.15">
      <c r="A399" s="2">
        <v>18</v>
      </c>
      <c r="B399" s="1" t="s">
        <v>151</v>
      </c>
      <c r="C399" s="4">
        <v>31</v>
      </c>
      <c r="D399" s="8">
        <v>1.46</v>
      </c>
      <c r="E399" s="4">
        <v>27</v>
      </c>
      <c r="F399" s="8">
        <v>3.06</v>
      </c>
      <c r="G399" s="4">
        <v>4</v>
      </c>
      <c r="H399" s="8">
        <v>0.32</v>
      </c>
      <c r="I399" s="4">
        <v>0</v>
      </c>
    </row>
    <row r="400" spans="1:9" x14ac:dyDescent="0.15">
      <c r="A400" s="2">
        <v>20</v>
      </c>
      <c r="B400" s="1" t="s">
        <v>146</v>
      </c>
      <c r="C400" s="4">
        <v>29</v>
      </c>
      <c r="D400" s="8">
        <v>1.37</v>
      </c>
      <c r="E400" s="4">
        <v>1</v>
      </c>
      <c r="F400" s="8">
        <v>0.11</v>
      </c>
      <c r="G400" s="4">
        <v>28</v>
      </c>
      <c r="H400" s="8">
        <v>2.27</v>
      </c>
      <c r="I400" s="4">
        <v>0</v>
      </c>
    </row>
    <row r="401" spans="1:9" x14ac:dyDescent="0.15">
      <c r="A401" s="2">
        <v>20</v>
      </c>
      <c r="B401" s="1" t="s">
        <v>150</v>
      </c>
      <c r="C401" s="4">
        <v>29</v>
      </c>
      <c r="D401" s="8">
        <v>1.37</v>
      </c>
      <c r="E401" s="4">
        <v>20</v>
      </c>
      <c r="F401" s="8">
        <v>2.27</v>
      </c>
      <c r="G401" s="4">
        <v>9</v>
      </c>
      <c r="H401" s="8">
        <v>0.73</v>
      </c>
      <c r="I401" s="4">
        <v>0</v>
      </c>
    </row>
    <row r="402" spans="1:9" x14ac:dyDescent="0.15">
      <c r="A402" s="2">
        <v>20</v>
      </c>
      <c r="B402" s="1" t="s">
        <v>180</v>
      </c>
      <c r="C402" s="4">
        <v>29</v>
      </c>
      <c r="D402" s="8">
        <v>1.37</v>
      </c>
      <c r="E402" s="4">
        <v>0</v>
      </c>
      <c r="F402" s="8">
        <v>0</v>
      </c>
      <c r="G402" s="4">
        <v>29</v>
      </c>
      <c r="H402" s="8">
        <v>2.35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155</v>
      </c>
      <c r="C405" s="4">
        <v>186</v>
      </c>
      <c r="D405" s="8">
        <v>4.92</v>
      </c>
      <c r="E405" s="4">
        <v>134</v>
      </c>
      <c r="F405" s="8">
        <v>10.69</v>
      </c>
      <c r="G405" s="4">
        <v>51</v>
      </c>
      <c r="H405" s="8">
        <v>2.02</v>
      </c>
      <c r="I405" s="4">
        <v>1</v>
      </c>
    </row>
    <row r="406" spans="1:9" x14ac:dyDescent="0.15">
      <c r="A406" s="2">
        <v>2</v>
      </c>
      <c r="B406" s="1" t="s">
        <v>156</v>
      </c>
      <c r="C406" s="4">
        <v>171</v>
      </c>
      <c r="D406" s="8">
        <v>4.5199999999999996</v>
      </c>
      <c r="E406" s="4">
        <v>105</v>
      </c>
      <c r="F406" s="8">
        <v>8.3800000000000008</v>
      </c>
      <c r="G406" s="4">
        <v>65</v>
      </c>
      <c r="H406" s="8">
        <v>2.58</v>
      </c>
      <c r="I406" s="4">
        <v>1</v>
      </c>
    </row>
    <row r="407" spans="1:9" x14ac:dyDescent="0.15">
      <c r="A407" s="2">
        <v>3</v>
      </c>
      <c r="B407" s="1" t="s">
        <v>148</v>
      </c>
      <c r="C407" s="4">
        <v>161</v>
      </c>
      <c r="D407" s="8">
        <v>4.26</v>
      </c>
      <c r="E407" s="4">
        <v>13</v>
      </c>
      <c r="F407" s="8">
        <v>1.04</v>
      </c>
      <c r="G407" s="4">
        <v>148</v>
      </c>
      <c r="H407" s="8">
        <v>5.88</v>
      </c>
      <c r="I407" s="4">
        <v>0</v>
      </c>
    </row>
    <row r="408" spans="1:9" x14ac:dyDescent="0.15">
      <c r="A408" s="2">
        <v>4</v>
      </c>
      <c r="B408" s="1" t="s">
        <v>149</v>
      </c>
      <c r="C408" s="4">
        <v>154</v>
      </c>
      <c r="D408" s="8">
        <v>4.07</v>
      </c>
      <c r="E408" s="4">
        <v>1</v>
      </c>
      <c r="F408" s="8">
        <v>0.08</v>
      </c>
      <c r="G408" s="4">
        <v>152</v>
      </c>
      <c r="H408" s="8">
        <v>6.03</v>
      </c>
      <c r="I408" s="4">
        <v>1</v>
      </c>
    </row>
    <row r="409" spans="1:9" x14ac:dyDescent="0.15">
      <c r="A409" s="2">
        <v>5</v>
      </c>
      <c r="B409" s="1" t="s">
        <v>157</v>
      </c>
      <c r="C409" s="4">
        <v>141</v>
      </c>
      <c r="D409" s="8">
        <v>3.73</v>
      </c>
      <c r="E409" s="4">
        <v>107</v>
      </c>
      <c r="F409" s="8">
        <v>8.5399999999999991</v>
      </c>
      <c r="G409" s="4">
        <v>34</v>
      </c>
      <c r="H409" s="8">
        <v>1.35</v>
      </c>
      <c r="I409" s="4">
        <v>0</v>
      </c>
    </row>
    <row r="410" spans="1:9" x14ac:dyDescent="0.15">
      <c r="A410" s="2">
        <v>6</v>
      </c>
      <c r="B410" s="1" t="s">
        <v>150</v>
      </c>
      <c r="C410" s="4">
        <v>104</v>
      </c>
      <c r="D410" s="8">
        <v>2.75</v>
      </c>
      <c r="E410" s="4">
        <v>64</v>
      </c>
      <c r="F410" s="8">
        <v>5.1100000000000003</v>
      </c>
      <c r="G410" s="4">
        <v>40</v>
      </c>
      <c r="H410" s="8">
        <v>1.59</v>
      </c>
      <c r="I410" s="4">
        <v>0</v>
      </c>
    </row>
    <row r="411" spans="1:9" x14ac:dyDescent="0.15">
      <c r="A411" s="2">
        <v>7</v>
      </c>
      <c r="B411" s="1" t="s">
        <v>142</v>
      </c>
      <c r="C411" s="4">
        <v>86</v>
      </c>
      <c r="D411" s="8">
        <v>2.27</v>
      </c>
      <c r="E411" s="4">
        <v>29</v>
      </c>
      <c r="F411" s="8">
        <v>2.31</v>
      </c>
      <c r="G411" s="4">
        <v>57</v>
      </c>
      <c r="H411" s="8">
        <v>2.2599999999999998</v>
      </c>
      <c r="I411" s="4">
        <v>0</v>
      </c>
    </row>
    <row r="412" spans="1:9" x14ac:dyDescent="0.15">
      <c r="A412" s="2">
        <v>8</v>
      </c>
      <c r="B412" s="1" t="s">
        <v>154</v>
      </c>
      <c r="C412" s="4">
        <v>83</v>
      </c>
      <c r="D412" s="8">
        <v>2.19</v>
      </c>
      <c r="E412" s="4">
        <v>66</v>
      </c>
      <c r="F412" s="8">
        <v>5.27</v>
      </c>
      <c r="G412" s="4">
        <v>17</v>
      </c>
      <c r="H412" s="8">
        <v>0.67</v>
      </c>
      <c r="I412" s="4">
        <v>0</v>
      </c>
    </row>
    <row r="413" spans="1:9" x14ac:dyDescent="0.15">
      <c r="A413" s="2">
        <v>9</v>
      </c>
      <c r="B413" s="1" t="s">
        <v>175</v>
      </c>
      <c r="C413" s="4">
        <v>80</v>
      </c>
      <c r="D413" s="8">
        <v>2.12</v>
      </c>
      <c r="E413" s="4">
        <v>50</v>
      </c>
      <c r="F413" s="8">
        <v>3.99</v>
      </c>
      <c r="G413" s="4">
        <v>30</v>
      </c>
      <c r="H413" s="8">
        <v>1.19</v>
      </c>
      <c r="I413" s="4">
        <v>0</v>
      </c>
    </row>
    <row r="414" spans="1:9" x14ac:dyDescent="0.15">
      <c r="A414" s="2">
        <v>10</v>
      </c>
      <c r="B414" s="1" t="s">
        <v>145</v>
      </c>
      <c r="C414" s="4">
        <v>79</v>
      </c>
      <c r="D414" s="8">
        <v>2.09</v>
      </c>
      <c r="E414" s="4">
        <v>35</v>
      </c>
      <c r="F414" s="8">
        <v>2.79</v>
      </c>
      <c r="G414" s="4">
        <v>44</v>
      </c>
      <c r="H414" s="8">
        <v>1.75</v>
      </c>
      <c r="I414" s="4">
        <v>0</v>
      </c>
    </row>
    <row r="415" spans="1:9" x14ac:dyDescent="0.15">
      <c r="A415" s="2">
        <v>11</v>
      </c>
      <c r="B415" s="1" t="s">
        <v>153</v>
      </c>
      <c r="C415" s="4">
        <v>73</v>
      </c>
      <c r="D415" s="8">
        <v>1.93</v>
      </c>
      <c r="E415" s="4">
        <v>27</v>
      </c>
      <c r="F415" s="8">
        <v>2.15</v>
      </c>
      <c r="G415" s="4">
        <v>46</v>
      </c>
      <c r="H415" s="8">
        <v>1.83</v>
      </c>
      <c r="I415" s="4">
        <v>0</v>
      </c>
    </row>
    <row r="416" spans="1:9" x14ac:dyDescent="0.15">
      <c r="A416" s="2">
        <v>12</v>
      </c>
      <c r="B416" s="1" t="s">
        <v>182</v>
      </c>
      <c r="C416" s="4">
        <v>69</v>
      </c>
      <c r="D416" s="8">
        <v>1.82</v>
      </c>
      <c r="E416" s="4">
        <v>4</v>
      </c>
      <c r="F416" s="8">
        <v>0.32</v>
      </c>
      <c r="G416" s="4">
        <v>65</v>
      </c>
      <c r="H416" s="8">
        <v>2.58</v>
      </c>
      <c r="I416" s="4">
        <v>0</v>
      </c>
    </row>
    <row r="417" spans="1:9" x14ac:dyDescent="0.15">
      <c r="A417" s="2">
        <v>13</v>
      </c>
      <c r="B417" s="1" t="s">
        <v>169</v>
      </c>
      <c r="C417" s="4">
        <v>67</v>
      </c>
      <c r="D417" s="8">
        <v>1.77</v>
      </c>
      <c r="E417" s="4">
        <v>3</v>
      </c>
      <c r="F417" s="8">
        <v>0.24</v>
      </c>
      <c r="G417" s="4">
        <v>64</v>
      </c>
      <c r="H417" s="8">
        <v>2.54</v>
      </c>
      <c r="I417" s="4">
        <v>0</v>
      </c>
    </row>
    <row r="418" spans="1:9" x14ac:dyDescent="0.15">
      <c r="A418" s="2">
        <v>14</v>
      </c>
      <c r="B418" s="1" t="s">
        <v>158</v>
      </c>
      <c r="C418" s="4">
        <v>66</v>
      </c>
      <c r="D418" s="8">
        <v>1.75</v>
      </c>
      <c r="E418" s="4">
        <v>5</v>
      </c>
      <c r="F418" s="8">
        <v>0.4</v>
      </c>
      <c r="G418" s="4">
        <v>61</v>
      </c>
      <c r="H418" s="8">
        <v>2.42</v>
      </c>
      <c r="I418" s="4">
        <v>0</v>
      </c>
    </row>
    <row r="419" spans="1:9" x14ac:dyDescent="0.15">
      <c r="A419" s="2">
        <v>14</v>
      </c>
      <c r="B419" s="1" t="s">
        <v>146</v>
      </c>
      <c r="C419" s="4">
        <v>66</v>
      </c>
      <c r="D419" s="8">
        <v>1.75</v>
      </c>
      <c r="E419" s="4">
        <v>3</v>
      </c>
      <c r="F419" s="8">
        <v>0.24</v>
      </c>
      <c r="G419" s="4">
        <v>63</v>
      </c>
      <c r="H419" s="8">
        <v>2.5</v>
      </c>
      <c r="I419" s="4">
        <v>0</v>
      </c>
    </row>
    <row r="420" spans="1:9" x14ac:dyDescent="0.15">
      <c r="A420" s="2">
        <v>14</v>
      </c>
      <c r="B420" s="1" t="s">
        <v>163</v>
      </c>
      <c r="C420" s="4">
        <v>66</v>
      </c>
      <c r="D420" s="8">
        <v>1.75</v>
      </c>
      <c r="E420" s="4">
        <v>61</v>
      </c>
      <c r="F420" s="8">
        <v>4.87</v>
      </c>
      <c r="G420" s="4">
        <v>5</v>
      </c>
      <c r="H420" s="8">
        <v>0.2</v>
      </c>
      <c r="I420" s="4">
        <v>0</v>
      </c>
    </row>
    <row r="421" spans="1:9" x14ac:dyDescent="0.15">
      <c r="A421" s="2">
        <v>17</v>
      </c>
      <c r="B421" s="1" t="s">
        <v>159</v>
      </c>
      <c r="C421" s="4">
        <v>65</v>
      </c>
      <c r="D421" s="8">
        <v>1.72</v>
      </c>
      <c r="E421" s="4">
        <v>12</v>
      </c>
      <c r="F421" s="8">
        <v>0.96</v>
      </c>
      <c r="G421" s="4">
        <v>53</v>
      </c>
      <c r="H421" s="8">
        <v>2.1</v>
      </c>
      <c r="I421" s="4">
        <v>0</v>
      </c>
    </row>
    <row r="422" spans="1:9" x14ac:dyDescent="0.15">
      <c r="A422" s="2">
        <v>18</v>
      </c>
      <c r="B422" s="1" t="s">
        <v>143</v>
      </c>
      <c r="C422" s="4">
        <v>63</v>
      </c>
      <c r="D422" s="8">
        <v>1.67</v>
      </c>
      <c r="E422" s="4">
        <v>18</v>
      </c>
      <c r="F422" s="8">
        <v>1.44</v>
      </c>
      <c r="G422" s="4">
        <v>45</v>
      </c>
      <c r="H422" s="8">
        <v>1.79</v>
      </c>
      <c r="I422" s="4">
        <v>0</v>
      </c>
    </row>
    <row r="423" spans="1:9" x14ac:dyDescent="0.15">
      <c r="A423" s="2">
        <v>19</v>
      </c>
      <c r="B423" s="1" t="s">
        <v>151</v>
      </c>
      <c r="C423" s="4">
        <v>60</v>
      </c>
      <c r="D423" s="8">
        <v>1.59</v>
      </c>
      <c r="E423" s="4">
        <v>50</v>
      </c>
      <c r="F423" s="8">
        <v>3.99</v>
      </c>
      <c r="G423" s="4">
        <v>10</v>
      </c>
      <c r="H423" s="8">
        <v>0.4</v>
      </c>
      <c r="I423" s="4">
        <v>0</v>
      </c>
    </row>
    <row r="424" spans="1:9" x14ac:dyDescent="0.15">
      <c r="A424" s="2">
        <v>20</v>
      </c>
      <c r="B424" s="1" t="s">
        <v>164</v>
      </c>
      <c r="C424" s="4">
        <v>54</v>
      </c>
      <c r="D424" s="8">
        <v>1.43</v>
      </c>
      <c r="E424" s="4">
        <v>2</v>
      </c>
      <c r="F424" s="8">
        <v>0.16</v>
      </c>
      <c r="G424" s="4">
        <v>50</v>
      </c>
      <c r="H424" s="8">
        <v>1.98</v>
      </c>
      <c r="I424" s="4">
        <v>2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155</v>
      </c>
      <c r="C427" s="4">
        <v>126</v>
      </c>
      <c r="D427" s="8">
        <v>3.47</v>
      </c>
      <c r="E427" s="4">
        <v>86</v>
      </c>
      <c r="F427" s="8">
        <v>9.93</v>
      </c>
      <c r="G427" s="4">
        <v>40</v>
      </c>
      <c r="H427" s="8">
        <v>1.45</v>
      </c>
      <c r="I427" s="4">
        <v>0</v>
      </c>
    </row>
    <row r="428" spans="1:9" x14ac:dyDescent="0.15">
      <c r="A428" s="2">
        <v>2</v>
      </c>
      <c r="B428" s="1" t="s">
        <v>149</v>
      </c>
      <c r="C428" s="4">
        <v>123</v>
      </c>
      <c r="D428" s="8">
        <v>3.39</v>
      </c>
      <c r="E428" s="4">
        <v>2</v>
      </c>
      <c r="F428" s="8">
        <v>0.23</v>
      </c>
      <c r="G428" s="4">
        <v>121</v>
      </c>
      <c r="H428" s="8">
        <v>4.38</v>
      </c>
      <c r="I428" s="4">
        <v>0</v>
      </c>
    </row>
    <row r="429" spans="1:9" x14ac:dyDescent="0.15">
      <c r="A429" s="2">
        <v>3</v>
      </c>
      <c r="B429" s="1" t="s">
        <v>144</v>
      </c>
      <c r="C429" s="4">
        <v>112</v>
      </c>
      <c r="D429" s="8">
        <v>3.08</v>
      </c>
      <c r="E429" s="4">
        <v>24</v>
      </c>
      <c r="F429" s="8">
        <v>2.77</v>
      </c>
      <c r="G429" s="4">
        <v>88</v>
      </c>
      <c r="H429" s="8">
        <v>3.18</v>
      </c>
      <c r="I429" s="4">
        <v>0</v>
      </c>
    </row>
    <row r="430" spans="1:9" x14ac:dyDescent="0.15">
      <c r="A430" s="2">
        <v>4</v>
      </c>
      <c r="B430" s="1" t="s">
        <v>156</v>
      </c>
      <c r="C430" s="4">
        <v>109</v>
      </c>
      <c r="D430" s="8">
        <v>3</v>
      </c>
      <c r="E430" s="4">
        <v>55</v>
      </c>
      <c r="F430" s="8">
        <v>6.35</v>
      </c>
      <c r="G430" s="4">
        <v>54</v>
      </c>
      <c r="H430" s="8">
        <v>1.95</v>
      </c>
      <c r="I430" s="4">
        <v>0</v>
      </c>
    </row>
    <row r="431" spans="1:9" x14ac:dyDescent="0.15">
      <c r="A431" s="2">
        <v>5</v>
      </c>
      <c r="B431" s="1" t="s">
        <v>148</v>
      </c>
      <c r="C431" s="4">
        <v>102</v>
      </c>
      <c r="D431" s="8">
        <v>2.81</v>
      </c>
      <c r="E431" s="4">
        <v>9</v>
      </c>
      <c r="F431" s="8">
        <v>1.04</v>
      </c>
      <c r="G431" s="4">
        <v>93</v>
      </c>
      <c r="H431" s="8">
        <v>3.37</v>
      </c>
      <c r="I431" s="4">
        <v>0</v>
      </c>
    </row>
    <row r="432" spans="1:9" x14ac:dyDescent="0.15">
      <c r="A432" s="2">
        <v>6</v>
      </c>
      <c r="B432" s="1" t="s">
        <v>181</v>
      </c>
      <c r="C432" s="4">
        <v>86</v>
      </c>
      <c r="D432" s="8">
        <v>2.37</v>
      </c>
      <c r="E432" s="4">
        <v>27</v>
      </c>
      <c r="F432" s="8">
        <v>3.12</v>
      </c>
      <c r="G432" s="4">
        <v>59</v>
      </c>
      <c r="H432" s="8">
        <v>2.14</v>
      </c>
      <c r="I432" s="4">
        <v>0</v>
      </c>
    </row>
    <row r="433" spans="1:9" x14ac:dyDescent="0.15">
      <c r="A433" s="2">
        <v>7</v>
      </c>
      <c r="B433" s="1" t="s">
        <v>157</v>
      </c>
      <c r="C433" s="4">
        <v>76</v>
      </c>
      <c r="D433" s="8">
        <v>2.09</v>
      </c>
      <c r="E433" s="4">
        <v>57</v>
      </c>
      <c r="F433" s="8">
        <v>6.58</v>
      </c>
      <c r="G433" s="4">
        <v>19</v>
      </c>
      <c r="H433" s="8">
        <v>0.69</v>
      </c>
      <c r="I433" s="4">
        <v>0</v>
      </c>
    </row>
    <row r="434" spans="1:9" x14ac:dyDescent="0.15">
      <c r="A434" s="2">
        <v>8</v>
      </c>
      <c r="B434" s="1" t="s">
        <v>158</v>
      </c>
      <c r="C434" s="4">
        <v>67</v>
      </c>
      <c r="D434" s="8">
        <v>1.84</v>
      </c>
      <c r="E434" s="4">
        <v>4</v>
      </c>
      <c r="F434" s="8">
        <v>0.46</v>
      </c>
      <c r="G434" s="4">
        <v>63</v>
      </c>
      <c r="H434" s="8">
        <v>2.2799999999999998</v>
      </c>
      <c r="I434" s="4">
        <v>0</v>
      </c>
    </row>
    <row r="435" spans="1:9" x14ac:dyDescent="0.15">
      <c r="A435" s="2">
        <v>9</v>
      </c>
      <c r="B435" s="1" t="s">
        <v>147</v>
      </c>
      <c r="C435" s="4">
        <v>66</v>
      </c>
      <c r="D435" s="8">
        <v>1.82</v>
      </c>
      <c r="E435" s="4">
        <v>5</v>
      </c>
      <c r="F435" s="8">
        <v>0.57999999999999996</v>
      </c>
      <c r="G435" s="4">
        <v>60</v>
      </c>
      <c r="H435" s="8">
        <v>2.17</v>
      </c>
      <c r="I435" s="4">
        <v>1</v>
      </c>
    </row>
    <row r="436" spans="1:9" x14ac:dyDescent="0.15">
      <c r="A436" s="2">
        <v>10</v>
      </c>
      <c r="B436" s="1" t="s">
        <v>176</v>
      </c>
      <c r="C436" s="4">
        <v>65</v>
      </c>
      <c r="D436" s="8">
        <v>1.79</v>
      </c>
      <c r="E436" s="4">
        <v>6</v>
      </c>
      <c r="F436" s="8">
        <v>0.69</v>
      </c>
      <c r="G436" s="4">
        <v>59</v>
      </c>
      <c r="H436" s="8">
        <v>2.14</v>
      </c>
      <c r="I436" s="4">
        <v>0</v>
      </c>
    </row>
    <row r="437" spans="1:9" x14ac:dyDescent="0.15">
      <c r="A437" s="2">
        <v>11</v>
      </c>
      <c r="B437" s="1" t="s">
        <v>141</v>
      </c>
      <c r="C437" s="4">
        <v>63</v>
      </c>
      <c r="D437" s="8">
        <v>1.73</v>
      </c>
      <c r="E437" s="4">
        <v>7</v>
      </c>
      <c r="F437" s="8">
        <v>0.81</v>
      </c>
      <c r="G437" s="4">
        <v>56</v>
      </c>
      <c r="H437" s="8">
        <v>2.0299999999999998</v>
      </c>
      <c r="I437" s="4">
        <v>0</v>
      </c>
    </row>
    <row r="438" spans="1:9" x14ac:dyDescent="0.15">
      <c r="A438" s="2">
        <v>12</v>
      </c>
      <c r="B438" s="1" t="s">
        <v>139</v>
      </c>
      <c r="C438" s="4">
        <v>57</v>
      </c>
      <c r="D438" s="8">
        <v>1.57</v>
      </c>
      <c r="E438" s="4">
        <v>5</v>
      </c>
      <c r="F438" s="8">
        <v>0.57999999999999996</v>
      </c>
      <c r="G438" s="4">
        <v>52</v>
      </c>
      <c r="H438" s="8">
        <v>1.88</v>
      </c>
      <c r="I438" s="4">
        <v>0</v>
      </c>
    </row>
    <row r="439" spans="1:9" x14ac:dyDescent="0.15">
      <c r="A439" s="2">
        <v>12</v>
      </c>
      <c r="B439" s="1" t="s">
        <v>150</v>
      </c>
      <c r="C439" s="4">
        <v>57</v>
      </c>
      <c r="D439" s="8">
        <v>1.57</v>
      </c>
      <c r="E439" s="4">
        <v>39</v>
      </c>
      <c r="F439" s="8">
        <v>4.5</v>
      </c>
      <c r="G439" s="4">
        <v>18</v>
      </c>
      <c r="H439" s="8">
        <v>0.65</v>
      </c>
      <c r="I439" s="4">
        <v>0</v>
      </c>
    </row>
    <row r="440" spans="1:9" x14ac:dyDescent="0.15">
      <c r="A440" s="2">
        <v>14</v>
      </c>
      <c r="B440" s="1" t="s">
        <v>177</v>
      </c>
      <c r="C440" s="4">
        <v>56</v>
      </c>
      <c r="D440" s="8">
        <v>1.54</v>
      </c>
      <c r="E440" s="4">
        <v>12</v>
      </c>
      <c r="F440" s="8">
        <v>1.39</v>
      </c>
      <c r="G440" s="4">
        <v>44</v>
      </c>
      <c r="H440" s="8">
        <v>1.59</v>
      </c>
      <c r="I440" s="4">
        <v>0</v>
      </c>
    </row>
    <row r="441" spans="1:9" x14ac:dyDescent="0.15">
      <c r="A441" s="2">
        <v>15</v>
      </c>
      <c r="B441" s="1" t="s">
        <v>171</v>
      </c>
      <c r="C441" s="4">
        <v>52</v>
      </c>
      <c r="D441" s="8">
        <v>1.43</v>
      </c>
      <c r="E441" s="4">
        <v>7</v>
      </c>
      <c r="F441" s="8">
        <v>0.81</v>
      </c>
      <c r="G441" s="4">
        <v>45</v>
      </c>
      <c r="H441" s="8">
        <v>1.63</v>
      </c>
      <c r="I441" s="4">
        <v>0</v>
      </c>
    </row>
    <row r="442" spans="1:9" x14ac:dyDescent="0.15">
      <c r="A442" s="2">
        <v>16</v>
      </c>
      <c r="B442" s="1" t="s">
        <v>145</v>
      </c>
      <c r="C442" s="4">
        <v>50</v>
      </c>
      <c r="D442" s="8">
        <v>1.38</v>
      </c>
      <c r="E442" s="4">
        <v>21</v>
      </c>
      <c r="F442" s="8">
        <v>2.42</v>
      </c>
      <c r="G442" s="4">
        <v>29</v>
      </c>
      <c r="H442" s="8">
        <v>1.05</v>
      </c>
      <c r="I442" s="4">
        <v>0</v>
      </c>
    </row>
    <row r="443" spans="1:9" x14ac:dyDescent="0.15">
      <c r="A443" s="2">
        <v>17</v>
      </c>
      <c r="B443" s="1" t="s">
        <v>154</v>
      </c>
      <c r="C443" s="4">
        <v>48</v>
      </c>
      <c r="D443" s="8">
        <v>1.32</v>
      </c>
      <c r="E443" s="4">
        <v>38</v>
      </c>
      <c r="F443" s="8">
        <v>4.3899999999999997</v>
      </c>
      <c r="G443" s="4">
        <v>10</v>
      </c>
      <c r="H443" s="8">
        <v>0.36</v>
      </c>
      <c r="I443" s="4">
        <v>0</v>
      </c>
    </row>
    <row r="444" spans="1:9" x14ac:dyDescent="0.15">
      <c r="A444" s="2">
        <v>18</v>
      </c>
      <c r="B444" s="1" t="s">
        <v>174</v>
      </c>
      <c r="C444" s="4">
        <v>47</v>
      </c>
      <c r="D444" s="8">
        <v>1.29</v>
      </c>
      <c r="E444" s="4">
        <v>8</v>
      </c>
      <c r="F444" s="8">
        <v>0.92</v>
      </c>
      <c r="G444" s="4">
        <v>39</v>
      </c>
      <c r="H444" s="8">
        <v>1.41</v>
      </c>
      <c r="I444" s="4">
        <v>0</v>
      </c>
    </row>
    <row r="445" spans="1:9" x14ac:dyDescent="0.15">
      <c r="A445" s="2">
        <v>18</v>
      </c>
      <c r="B445" s="1" t="s">
        <v>153</v>
      </c>
      <c r="C445" s="4">
        <v>47</v>
      </c>
      <c r="D445" s="8">
        <v>1.29</v>
      </c>
      <c r="E445" s="4">
        <v>16</v>
      </c>
      <c r="F445" s="8">
        <v>1.85</v>
      </c>
      <c r="G445" s="4">
        <v>31</v>
      </c>
      <c r="H445" s="8">
        <v>1.1200000000000001</v>
      </c>
      <c r="I445" s="4">
        <v>0</v>
      </c>
    </row>
    <row r="446" spans="1:9" x14ac:dyDescent="0.15">
      <c r="A446" s="2">
        <v>20</v>
      </c>
      <c r="B446" s="1" t="s">
        <v>140</v>
      </c>
      <c r="C446" s="4">
        <v>46</v>
      </c>
      <c r="D446" s="8">
        <v>1.27</v>
      </c>
      <c r="E446" s="4">
        <v>9</v>
      </c>
      <c r="F446" s="8">
        <v>1.04</v>
      </c>
      <c r="G446" s="4">
        <v>37</v>
      </c>
      <c r="H446" s="8">
        <v>1.34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148</v>
      </c>
      <c r="C449" s="4">
        <v>1562</v>
      </c>
      <c r="D449" s="8">
        <v>6.96</v>
      </c>
      <c r="E449" s="4">
        <v>972</v>
      </c>
      <c r="F449" s="8">
        <v>10.31</v>
      </c>
      <c r="G449" s="4">
        <v>590</v>
      </c>
      <c r="H449" s="8">
        <v>4.53</v>
      </c>
      <c r="I449" s="4">
        <v>0</v>
      </c>
    </row>
    <row r="450" spans="1:9" x14ac:dyDescent="0.15">
      <c r="A450" s="2">
        <v>2</v>
      </c>
      <c r="B450" s="1" t="s">
        <v>151</v>
      </c>
      <c r="C450" s="4">
        <v>899</v>
      </c>
      <c r="D450" s="8">
        <v>4</v>
      </c>
      <c r="E450" s="4">
        <v>810</v>
      </c>
      <c r="F450" s="8">
        <v>8.59</v>
      </c>
      <c r="G450" s="4">
        <v>89</v>
      </c>
      <c r="H450" s="8">
        <v>0.68</v>
      </c>
      <c r="I450" s="4">
        <v>0</v>
      </c>
    </row>
    <row r="451" spans="1:9" x14ac:dyDescent="0.15">
      <c r="A451" s="2">
        <v>3</v>
      </c>
      <c r="B451" s="1" t="s">
        <v>155</v>
      </c>
      <c r="C451" s="4">
        <v>849</v>
      </c>
      <c r="D451" s="8">
        <v>3.78</v>
      </c>
      <c r="E451" s="4">
        <v>661</v>
      </c>
      <c r="F451" s="8">
        <v>7.01</v>
      </c>
      <c r="G451" s="4">
        <v>188</v>
      </c>
      <c r="H451" s="8">
        <v>1.44</v>
      </c>
      <c r="I451" s="4">
        <v>0</v>
      </c>
    </row>
    <row r="452" spans="1:9" x14ac:dyDescent="0.15">
      <c r="A452" s="2">
        <v>4</v>
      </c>
      <c r="B452" s="1" t="s">
        <v>150</v>
      </c>
      <c r="C452" s="4">
        <v>703</v>
      </c>
      <c r="D452" s="8">
        <v>3.13</v>
      </c>
      <c r="E452" s="4">
        <v>526</v>
      </c>
      <c r="F452" s="8">
        <v>5.58</v>
      </c>
      <c r="G452" s="4">
        <v>177</v>
      </c>
      <c r="H452" s="8">
        <v>1.36</v>
      </c>
      <c r="I452" s="4">
        <v>0</v>
      </c>
    </row>
    <row r="453" spans="1:9" x14ac:dyDescent="0.15">
      <c r="A453" s="2">
        <v>5</v>
      </c>
      <c r="B453" s="1" t="s">
        <v>149</v>
      </c>
      <c r="C453" s="4">
        <v>575</v>
      </c>
      <c r="D453" s="8">
        <v>2.56</v>
      </c>
      <c r="E453" s="4">
        <v>29</v>
      </c>
      <c r="F453" s="8">
        <v>0.31</v>
      </c>
      <c r="G453" s="4">
        <v>545</v>
      </c>
      <c r="H453" s="8">
        <v>4.1900000000000004</v>
      </c>
      <c r="I453" s="4">
        <v>1</v>
      </c>
    </row>
    <row r="454" spans="1:9" x14ac:dyDescent="0.15">
      <c r="A454" s="2">
        <v>6</v>
      </c>
      <c r="B454" s="1" t="s">
        <v>154</v>
      </c>
      <c r="C454" s="4">
        <v>562</v>
      </c>
      <c r="D454" s="8">
        <v>2.5</v>
      </c>
      <c r="E454" s="4">
        <v>503</v>
      </c>
      <c r="F454" s="8">
        <v>5.34</v>
      </c>
      <c r="G454" s="4">
        <v>59</v>
      </c>
      <c r="H454" s="8">
        <v>0.45</v>
      </c>
      <c r="I454" s="4">
        <v>0</v>
      </c>
    </row>
    <row r="455" spans="1:9" x14ac:dyDescent="0.15">
      <c r="A455" s="2">
        <v>7</v>
      </c>
      <c r="B455" s="1" t="s">
        <v>157</v>
      </c>
      <c r="C455" s="4">
        <v>526</v>
      </c>
      <c r="D455" s="8">
        <v>2.34</v>
      </c>
      <c r="E455" s="4">
        <v>420</v>
      </c>
      <c r="F455" s="8">
        <v>4.46</v>
      </c>
      <c r="G455" s="4">
        <v>106</v>
      </c>
      <c r="H455" s="8">
        <v>0.81</v>
      </c>
      <c r="I455" s="4">
        <v>0</v>
      </c>
    </row>
    <row r="456" spans="1:9" x14ac:dyDescent="0.15">
      <c r="A456" s="2">
        <v>8</v>
      </c>
      <c r="B456" s="1" t="s">
        <v>145</v>
      </c>
      <c r="C456" s="4">
        <v>495</v>
      </c>
      <c r="D456" s="8">
        <v>2.2000000000000002</v>
      </c>
      <c r="E456" s="4">
        <v>272</v>
      </c>
      <c r="F456" s="8">
        <v>2.89</v>
      </c>
      <c r="G456" s="4">
        <v>223</v>
      </c>
      <c r="H456" s="8">
        <v>1.71</v>
      </c>
      <c r="I456" s="4">
        <v>0</v>
      </c>
    </row>
    <row r="457" spans="1:9" x14ac:dyDescent="0.15">
      <c r="A457" s="2">
        <v>9</v>
      </c>
      <c r="B457" s="1" t="s">
        <v>156</v>
      </c>
      <c r="C457" s="4">
        <v>462</v>
      </c>
      <c r="D457" s="8">
        <v>2.06</v>
      </c>
      <c r="E457" s="4">
        <v>322</v>
      </c>
      <c r="F457" s="8">
        <v>3.42</v>
      </c>
      <c r="G457" s="4">
        <v>137</v>
      </c>
      <c r="H457" s="8">
        <v>1.05</v>
      </c>
      <c r="I457" s="4">
        <v>3</v>
      </c>
    </row>
    <row r="458" spans="1:9" x14ac:dyDescent="0.15">
      <c r="A458" s="2">
        <v>10</v>
      </c>
      <c r="B458" s="1" t="s">
        <v>153</v>
      </c>
      <c r="C458" s="4">
        <v>440</v>
      </c>
      <c r="D458" s="8">
        <v>1.96</v>
      </c>
      <c r="E458" s="4">
        <v>235</v>
      </c>
      <c r="F458" s="8">
        <v>2.4900000000000002</v>
      </c>
      <c r="G458" s="4">
        <v>205</v>
      </c>
      <c r="H458" s="8">
        <v>1.58</v>
      </c>
      <c r="I458" s="4">
        <v>0</v>
      </c>
    </row>
    <row r="459" spans="1:9" x14ac:dyDescent="0.15">
      <c r="A459" s="2">
        <v>11</v>
      </c>
      <c r="B459" s="1" t="s">
        <v>152</v>
      </c>
      <c r="C459" s="4">
        <v>424</v>
      </c>
      <c r="D459" s="8">
        <v>1.89</v>
      </c>
      <c r="E459" s="4">
        <v>389</v>
      </c>
      <c r="F459" s="8">
        <v>4.13</v>
      </c>
      <c r="G459" s="4">
        <v>35</v>
      </c>
      <c r="H459" s="8">
        <v>0.27</v>
      </c>
      <c r="I459" s="4">
        <v>0</v>
      </c>
    </row>
    <row r="460" spans="1:9" x14ac:dyDescent="0.15">
      <c r="A460" s="2">
        <v>12</v>
      </c>
      <c r="B460" s="1" t="s">
        <v>143</v>
      </c>
      <c r="C460" s="4">
        <v>423</v>
      </c>
      <c r="D460" s="8">
        <v>1.88</v>
      </c>
      <c r="E460" s="4">
        <v>218</v>
      </c>
      <c r="F460" s="8">
        <v>2.31</v>
      </c>
      <c r="G460" s="4">
        <v>205</v>
      </c>
      <c r="H460" s="8">
        <v>1.58</v>
      </c>
      <c r="I460" s="4">
        <v>0</v>
      </c>
    </row>
    <row r="461" spans="1:9" x14ac:dyDescent="0.15">
      <c r="A461" s="2">
        <v>13</v>
      </c>
      <c r="B461" s="1" t="s">
        <v>146</v>
      </c>
      <c r="C461" s="4">
        <v>410</v>
      </c>
      <c r="D461" s="8">
        <v>1.83</v>
      </c>
      <c r="E461" s="4">
        <v>45</v>
      </c>
      <c r="F461" s="8">
        <v>0.48</v>
      </c>
      <c r="G461" s="4">
        <v>365</v>
      </c>
      <c r="H461" s="8">
        <v>2.81</v>
      </c>
      <c r="I461" s="4">
        <v>0</v>
      </c>
    </row>
    <row r="462" spans="1:9" x14ac:dyDescent="0.15">
      <c r="A462" s="2">
        <v>14</v>
      </c>
      <c r="B462" s="1" t="s">
        <v>141</v>
      </c>
      <c r="C462" s="4">
        <v>373</v>
      </c>
      <c r="D462" s="8">
        <v>1.66</v>
      </c>
      <c r="E462" s="4">
        <v>22</v>
      </c>
      <c r="F462" s="8">
        <v>0.23</v>
      </c>
      <c r="G462" s="4">
        <v>351</v>
      </c>
      <c r="H462" s="8">
        <v>2.7</v>
      </c>
      <c r="I462" s="4">
        <v>0</v>
      </c>
    </row>
    <row r="463" spans="1:9" x14ac:dyDescent="0.15">
      <c r="A463" s="2">
        <v>15</v>
      </c>
      <c r="B463" s="1" t="s">
        <v>140</v>
      </c>
      <c r="C463" s="4">
        <v>342</v>
      </c>
      <c r="D463" s="8">
        <v>1.52</v>
      </c>
      <c r="E463" s="4">
        <v>34</v>
      </c>
      <c r="F463" s="8">
        <v>0.36</v>
      </c>
      <c r="G463" s="4">
        <v>308</v>
      </c>
      <c r="H463" s="8">
        <v>2.37</v>
      </c>
      <c r="I463" s="4">
        <v>0</v>
      </c>
    </row>
    <row r="464" spans="1:9" x14ac:dyDescent="0.15">
      <c r="A464" s="2">
        <v>16</v>
      </c>
      <c r="B464" s="1" t="s">
        <v>163</v>
      </c>
      <c r="C464" s="4">
        <v>289</v>
      </c>
      <c r="D464" s="8">
        <v>1.29</v>
      </c>
      <c r="E464" s="4">
        <v>272</v>
      </c>
      <c r="F464" s="8">
        <v>2.89</v>
      </c>
      <c r="G464" s="4">
        <v>17</v>
      </c>
      <c r="H464" s="8">
        <v>0.13</v>
      </c>
      <c r="I464" s="4">
        <v>0</v>
      </c>
    </row>
    <row r="465" spans="1:9" x14ac:dyDescent="0.15">
      <c r="A465" s="2">
        <v>17</v>
      </c>
      <c r="B465" s="1" t="s">
        <v>139</v>
      </c>
      <c r="C465" s="4">
        <v>285</v>
      </c>
      <c r="D465" s="8">
        <v>1.27</v>
      </c>
      <c r="E465" s="4">
        <v>32</v>
      </c>
      <c r="F465" s="8">
        <v>0.34</v>
      </c>
      <c r="G465" s="4">
        <v>253</v>
      </c>
      <c r="H465" s="8">
        <v>1.94</v>
      </c>
      <c r="I465" s="4">
        <v>0</v>
      </c>
    </row>
    <row r="466" spans="1:9" x14ac:dyDescent="0.15">
      <c r="A466" s="2">
        <v>18</v>
      </c>
      <c r="B466" s="1" t="s">
        <v>161</v>
      </c>
      <c r="C466" s="4">
        <v>265</v>
      </c>
      <c r="D466" s="8">
        <v>1.18</v>
      </c>
      <c r="E466" s="4">
        <v>66</v>
      </c>
      <c r="F466" s="8">
        <v>0.7</v>
      </c>
      <c r="G466" s="4">
        <v>199</v>
      </c>
      <c r="H466" s="8">
        <v>1.53</v>
      </c>
      <c r="I466" s="4">
        <v>0</v>
      </c>
    </row>
    <row r="467" spans="1:9" x14ac:dyDescent="0.15">
      <c r="A467" s="2">
        <v>19</v>
      </c>
      <c r="B467" s="1" t="s">
        <v>158</v>
      </c>
      <c r="C467" s="4">
        <v>258</v>
      </c>
      <c r="D467" s="8">
        <v>1.1499999999999999</v>
      </c>
      <c r="E467" s="4">
        <v>36</v>
      </c>
      <c r="F467" s="8">
        <v>0.38</v>
      </c>
      <c r="G467" s="4">
        <v>222</v>
      </c>
      <c r="H467" s="8">
        <v>1.71</v>
      </c>
      <c r="I467" s="4">
        <v>0</v>
      </c>
    </row>
    <row r="468" spans="1:9" x14ac:dyDescent="0.15">
      <c r="A468" s="2">
        <v>20</v>
      </c>
      <c r="B468" s="1" t="s">
        <v>159</v>
      </c>
      <c r="C468" s="4">
        <v>244</v>
      </c>
      <c r="D468" s="8">
        <v>1.0900000000000001</v>
      </c>
      <c r="E468" s="4">
        <v>47</v>
      </c>
      <c r="F468" s="8">
        <v>0.5</v>
      </c>
      <c r="G468" s="4">
        <v>197</v>
      </c>
      <c r="H468" s="8">
        <v>1.51</v>
      </c>
      <c r="I468" s="4">
        <v>0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148</v>
      </c>
      <c r="C471" s="4">
        <v>342</v>
      </c>
      <c r="D471" s="8">
        <v>6.16</v>
      </c>
      <c r="E471" s="4">
        <v>245</v>
      </c>
      <c r="F471" s="8">
        <v>10.48</v>
      </c>
      <c r="G471" s="4">
        <v>97</v>
      </c>
      <c r="H471" s="8">
        <v>3.02</v>
      </c>
      <c r="I471" s="4">
        <v>0</v>
      </c>
    </row>
    <row r="472" spans="1:9" x14ac:dyDescent="0.15">
      <c r="A472" s="2">
        <v>2</v>
      </c>
      <c r="B472" s="1" t="s">
        <v>151</v>
      </c>
      <c r="C472" s="4">
        <v>297</v>
      </c>
      <c r="D472" s="8">
        <v>5.35</v>
      </c>
      <c r="E472" s="4">
        <v>276</v>
      </c>
      <c r="F472" s="8">
        <v>11.81</v>
      </c>
      <c r="G472" s="4">
        <v>21</v>
      </c>
      <c r="H472" s="8">
        <v>0.65</v>
      </c>
      <c r="I472" s="4">
        <v>0</v>
      </c>
    </row>
    <row r="473" spans="1:9" x14ac:dyDescent="0.15">
      <c r="A473" s="2">
        <v>3</v>
      </c>
      <c r="B473" s="1" t="s">
        <v>150</v>
      </c>
      <c r="C473" s="4">
        <v>188</v>
      </c>
      <c r="D473" s="8">
        <v>3.39</v>
      </c>
      <c r="E473" s="4">
        <v>148</v>
      </c>
      <c r="F473" s="8">
        <v>6.33</v>
      </c>
      <c r="G473" s="4">
        <v>40</v>
      </c>
      <c r="H473" s="8">
        <v>1.25</v>
      </c>
      <c r="I473" s="4">
        <v>0</v>
      </c>
    </row>
    <row r="474" spans="1:9" x14ac:dyDescent="0.15">
      <c r="A474" s="2">
        <v>4</v>
      </c>
      <c r="B474" s="1" t="s">
        <v>155</v>
      </c>
      <c r="C474" s="4">
        <v>176</v>
      </c>
      <c r="D474" s="8">
        <v>3.17</v>
      </c>
      <c r="E474" s="4">
        <v>154</v>
      </c>
      <c r="F474" s="8">
        <v>6.59</v>
      </c>
      <c r="G474" s="4">
        <v>22</v>
      </c>
      <c r="H474" s="8">
        <v>0.69</v>
      </c>
      <c r="I474" s="4">
        <v>0</v>
      </c>
    </row>
    <row r="475" spans="1:9" x14ac:dyDescent="0.15">
      <c r="A475" s="2">
        <v>5</v>
      </c>
      <c r="B475" s="1" t="s">
        <v>154</v>
      </c>
      <c r="C475" s="4">
        <v>141</v>
      </c>
      <c r="D475" s="8">
        <v>2.54</v>
      </c>
      <c r="E475" s="4">
        <v>132</v>
      </c>
      <c r="F475" s="8">
        <v>5.65</v>
      </c>
      <c r="G475" s="4">
        <v>9</v>
      </c>
      <c r="H475" s="8">
        <v>0.28000000000000003</v>
      </c>
      <c r="I475" s="4">
        <v>0</v>
      </c>
    </row>
    <row r="476" spans="1:9" x14ac:dyDescent="0.15">
      <c r="A476" s="2">
        <v>6</v>
      </c>
      <c r="B476" s="1" t="s">
        <v>145</v>
      </c>
      <c r="C476" s="4">
        <v>139</v>
      </c>
      <c r="D476" s="8">
        <v>2.5</v>
      </c>
      <c r="E476" s="4">
        <v>82</v>
      </c>
      <c r="F476" s="8">
        <v>3.51</v>
      </c>
      <c r="G476" s="4">
        <v>57</v>
      </c>
      <c r="H476" s="8">
        <v>1.78</v>
      </c>
      <c r="I476" s="4">
        <v>0</v>
      </c>
    </row>
    <row r="477" spans="1:9" x14ac:dyDescent="0.15">
      <c r="A477" s="2">
        <v>7</v>
      </c>
      <c r="B477" s="1" t="s">
        <v>143</v>
      </c>
      <c r="C477" s="4">
        <v>125</v>
      </c>
      <c r="D477" s="8">
        <v>2.25</v>
      </c>
      <c r="E477" s="4">
        <v>64</v>
      </c>
      <c r="F477" s="8">
        <v>2.74</v>
      </c>
      <c r="G477" s="4">
        <v>61</v>
      </c>
      <c r="H477" s="8">
        <v>1.9</v>
      </c>
      <c r="I477" s="4">
        <v>0</v>
      </c>
    </row>
    <row r="478" spans="1:9" x14ac:dyDescent="0.15">
      <c r="A478" s="2">
        <v>8</v>
      </c>
      <c r="B478" s="1" t="s">
        <v>141</v>
      </c>
      <c r="C478" s="4">
        <v>124</v>
      </c>
      <c r="D478" s="8">
        <v>2.23</v>
      </c>
      <c r="E478" s="4">
        <v>5</v>
      </c>
      <c r="F478" s="8">
        <v>0.21</v>
      </c>
      <c r="G478" s="4">
        <v>119</v>
      </c>
      <c r="H478" s="8">
        <v>3.71</v>
      </c>
      <c r="I478" s="4">
        <v>0</v>
      </c>
    </row>
    <row r="479" spans="1:9" x14ac:dyDescent="0.15">
      <c r="A479" s="2">
        <v>9</v>
      </c>
      <c r="B479" s="1" t="s">
        <v>152</v>
      </c>
      <c r="C479" s="4">
        <v>107</v>
      </c>
      <c r="D479" s="8">
        <v>1.93</v>
      </c>
      <c r="E479" s="4">
        <v>102</v>
      </c>
      <c r="F479" s="8">
        <v>4.3600000000000003</v>
      </c>
      <c r="G479" s="4">
        <v>5</v>
      </c>
      <c r="H479" s="8">
        <v>0.16</v>
      </c>
      <c r="I479" s="4">
        <v>0</v>
      </c>
    </row>
    <row r="480" spans="1:9" x14ac:dyDescent="0.15">
      <c r="A480" s="2">
        <v>10</v>
      </c>
      <c r="B480" s="1" t="s">
        <v>140</v>
      </c>
      <c r="C480" s="4">
        <v>100</v>
      </c>
      <c r="D480" s="8">
        <v>1.8</v>
      </c>
      <c r="E480" s="4">
        <v>7</v>
      </c>
      <c r="F480" s="8">
        <v>0.3</v>
      </c>
      <c r="G480" s="4">
        <v>93</v>
      </c>
      <c r="H480" s="8">
        <v>2.9</v>
      </c>
      <c r="I480" s="4">
        <v>0</v>
      </c>
    </row>
    <row r="481" spans="1:9" x14ac:dyDescent="0.15">
      <c r="A481" s="2">
        <v>11</v>
      </c>
      <c r="B481" s="1" t="s">
        <v>173</v>
      </c>
      <c r="C481" s="4">
        <v>81</v>
      </c>
      <c r="D481" s="8">
        <v>1.46</v>
      </c>
      <c r="E481" s="4">
        <v>65</v>
      </c>
      <c r="F481" s="8">
        <v>2.78</v>
      </c>
      <c r="G481" s="4">
        <v>16</v>
      </c>
      <c r="H481" s="8">
        <v>0.5</v>
      </c>
      <c r="I481" s="4">
        <v>0</v>
      </c>
    </row>
    <row r="482" spans="1:9" x14ac:dyDescent="0.15">
      <c r="A482" s="2">
        <v>11</v>
      </c>
      <c r="B482" s="1" t="s">
        <v>157</v>
      </c>
      <c r="C482" s="4">
        <v>81</v>
      </c>
      <c r="D482" s="8">
        <v>1.46</v>
      </c>
      <c r="E482" s="4">
        <v>67</v>
      </c>
      <c r="F482" s="8">
        <v>2.87</v>
      </c>
      <c r="G482" s="4">
        <v>14</v>
      </c>
      <c r="H482" s="8">
        <v>0.44</v>
      </c>
      <c r="I482" s="4">
        <v>0</v>
      </c>
    </row>
    <row r="483" spans="1:9" x14ac:dyDescent="0.15">
      <c r="A483" s="2">
        <v>13</v>
      </c>
      <c r="B483" s="1" t="s">
        <v>139</v>
      </c>
      <c r="C483" s="4">
        <v>76</v>
      </c>
      <c r="D483" s="8">
        <v>1.37</v>
      </c>
      <c r="E483" s="4">
        <v>5</v>
      </c>
      <c r="F483" s="8">
        <v>0.21</v>
      </c>
      <c r="G483" s="4">
        <v>71</v>
      </c>
      <c r="H483" s="8">
        <v>2.21</v>
      </c>
      <c r="I483" s="4">
        <v>0</v>
      </c>
    </row>
    <row r="484" spans="1:9" x14ac:dyDescent="0.15">
      <c r="A484" s="2">
        <v>13</v>
      </c>
      <c r="B484" s="1" t="s">
        <v>146</v>
      </c>
      <c r="C484" s="4">
        <v>76</v>
      </c>
      <c r="D484" s="8">
        <v>1.37</v>
      </c>
      <c r="E484" s="4">
        <v>10</v>
      </c>
      <c r="F484" s="8">
        <v>0.43</v>
      </c>
      <c r="G484" s="4">
        <v>66</v>
      </c>
      <c r="H484" s="8">
        <v>2.06</v>
      </c>
      <c r="I484" s="4">
        <v>0</v>
      </c>
    </row>
    <row r="485" spans="1:9" x14ac:dyDescent="0.15">
      <c r="A485" s="2">
        <v>15</v>
      </c>
      <c r="B485" s="1" t="s">
        <v>166</v>
      </c>
      <c r="C485" s="4">
        <v>74</v>
      </c>
      <c r="D485" s="8">
        <v>1.33</v>
      </c>
      <c r="E485" s="4">
        <v>35</v>
      </c>
      <c r="F485" s="8">
        <v>1.5</v>
      </c>
      <c r="G485" s="4">
        <v>39</v>
      </c>
      <c r="H485" s="8">
        <v>1.21</v>
      </c>
      <c r="I485" s="4">
        <v>0</v>
      </c>
    </row>
    <row r="486" spans="1:9" x14ac:dyDescent="0.15">
      <c r="A486" s="2">
        <v>16</v>
      </c>
      <c r="B486" s="1" t="s">
        <v>149</v>
      </c>
      <c r="C486" s="4">
        <v>68</v>
      </c>
      <c r="D486" s="8">
        <v>1.22</v>
      </c>
      <c r="E486" s="4">
        <v>7</v>
      </c>
      <c r="F486" s="8">
        <v>0.3</v>
      </c>
      <c r="G486" s="4">
        <v>60</v>
      </c>
      <c r="H486" s="8">
        <v>1.87</v>
      </c>
      <c r="I486" s="4">
        <v>1</v>
      </c>
    </row>
    <row r="487" spans="1:9" x14ac:dyDescent="0.15">
      <c r="A487" s="2">
        <v>17</v>
      </c>
      <c r="B487" s="1" t="s">
        <v>147</v>
      </c>
      <c r="C487" s="4">
        <v>66</v>
      </c>
      <c r="D487" s="8">
        <v>1.19</v>
      </c>
      <c r="E487" s="4">
        <v>13</v>
      </c>
      <c r="F487" s="8">
        <v>0.56000000000000005</v>
      </c>
      <c r="G487" s="4">
        <v>53</v>
      </c>
      <c r="H487" s="8">
        <v>1.65</v>
      </c>
      <c r="I487" s="4">
        <v>0</v>
      </c>
    </row>
    <row r="488" spans="1:9" x14ac:dyDescent="0.15">
      <c r="A488" s="2">
        <v>18</v>
      </c>
      <c r="B488" s="1" t="s">
        <v>183</v>
      </c>
      <c r="C488" s="4">
        <v>64</v>
      </c>
      <c r="D488" s="8">
        <v>1.1499999999999999</v>
      </c>
      <c r="E488" s="4">
        <v>38</v>
      </c>
      <c r="F488" s="8">
        <v>1.63</v>
      </c>
      <c r="G488" s="4">
        <v>26</v>
      </c>
      <c r="H488" s="8">
        <v>0.81</v>
      </c>
      <c r="I488" s="4">
        <v>0</v>
      </c>
    </row>
    <row r="489" spans="1:9" x14ac:dyDescent="0.15">
      <c r="A489" s="2">
        <v>18</v>
      </c>
      <c r="B489" s="1" t="s">
        <v>153</v>
      </c>
      <c r="C489" s="4">
        <v>64</v>
      </c>
      <c r="D489" s="8">
        <v>1.1499999999999999</v>
      </c>
      <c r="E489" s="4">
        <v>31</v>
      </c>
      <c r="F489" s="8">
        <v>1.33</v>
      </c>
      <c r="G489" s="4">
        <v>33</v>
      </c>
      <c r="H489" s="8">
        <v>1.03</v>
      </c>
      <c r="I489" s="4">
        <v>0</v>
      </c>
    </row>
    <row r="490" spans="1:9" x14ac:dyDescent="0.15">
      <c r="A490" s="2">
        <v>18</v>
      </c>
      <c r="B490" s="1" t="s">
        <v>156</v>
      </c>
      <c r="C490" s="4">
        <v>64</v>
      </c>
      <c r="D490" s="8">
        <v>1.1499999999999999</v>
      </c>
      <c r="E490" s="4">
        <v>44</v>
      </c>
      <c r="F490" s="8">
        <v>1.88</v>
      </c>
      <c r="G490" s="4">
        <v>20</v>
      </c>
      <c r="H490" s="8">
        <v>0.62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148</v>
      </c>
      <c r="C493" s="4">
        <v>169</v>
      </c>
      <c r="D493" s="8">
        <v>6.37</v>
      </c>
      <c r="E493" s="4">
        <v>107</v>
      </c>
      <c r="F493" s="8">
        <v>8.5399999999999991</v>
      </c>
      <c r="G493" s="4">
        <v>62</v>
      </c>
      <c r="H493" s="8">
        <v>4.43</v>
      </c>
      <c r="I493" s="4">
        <v>0</v>
      </c>
    </row>
    <row r="494" spans="1:9" x14ac:dyDescent="0.15">
      <c r="A494" s="2">
        <v>2</v>
      </c>
      <c r="B494" s="1" t="s">
        <v>155</v>
      </c>
      <c r="C494" s="4">
        <v>107</v>
      </c>
      <c r="D494" s="8">
        <v>4.03</v>
      </c>
      <c r="E494" s="4">
        <v>88</v>
      </c>
      <c r="F494" s="8">
        <v>7.02</v>
      </c>
      <c r="G494" s="4">
        <v>19</v>
      </c>
      <c r="H494" s="8">
        <v>1.36</v>
      </c>
      <c r="I494" s="4">
        <v>0</v>
      </c>
    </row>
    <row r="495" spans="1:9" x14ac:dyDescent="0.15">
      <c r="A495" s="2">
        <v>3</v>
      </c>
      <c r="B495" s="1" t="s">
        <v>151</v>
      </c>
      <c r="C495" s="4">
        <v>103</v>
      </c>
      <c r="D495" s="8">
        <v>3.88</v>
      </c>
      <c r="E495" s="4">
        <v>95</v>
      </c>
      <c r="F495" s="8">
        <v>7.58</v>
      </c>
      <c r="G495" s="4">
        <v>8</v>
      </c>
      <c r="H495" s="8">
        <v>0.56999999999999995</v>
      </c>
      <c r="I495" s="4">
        <v>0</v>
      </c>
    </row>
    <row r="496" spans="1:9" x14ac:dyDescent="0.15">
      <c r="A496" s="2">
        <v>4</v>
      </c>
      <c r="B496" s="1" t="s">
        <v>150</v>
      </c>
      <c r="C496" s="4">
        <v>95</v>
      </c>
      <c r="D496" s="8">
        <v>3.58</v>
      </c>
      <c r="E496" s="4">
        <v>77</v>
      </c>
      <c r="F496" s="8">
        <v>6.15</v>
      </c>
      <c r="G496" s="4">
        <v>18</v>
      </c>
      <c r="H496" s="8">
        <v>1.29</v>
      </c>
      <c r="I496" s="4">
        <v>0</v>
      </c>
    </row>
    <row r="497" spans="1:9" x14ac:dyDescent="0.15">
      <c r="A497" s="2">
        <v>5</v>
      </c>
      <c r="B497" s="1" t="s">
        <v>154</v>
      </c>
      <c r="C497" s="4">
        <v>85</v>
      </c>
      <c r="D497" s="8">
        <v>3.21</v>
      </c>
      <c r="E497" s="4">
        <v>79</v>
      </c>
      <c r="F497" s="8">
        <v>6.3</v>
      </c>
      <c r="G497" s="4">
        <v>6</v>
      </c>
      <c r="H497" s="8">
        <v>0.43</v>
      </c>
      <c r="I497" s="4">
        <v>0</v>
      </c>
    </row>
    <row r="498" spans="1:9" x14ac:dyDescent="0.15">
      <c r="A498" s="2">
        <v>6</v>
      </c>
      <c r="B498" s="1" t="s">
        <v>145</v>
      </c>
      <c r="C498" s="4">
        <v>66</v>
      </c>
      <c r="D498" s="8">
        <v>2.4900000000000002</v>
      </c>
      <c r="E498" s="4">
        <v>41</v>
      </c>
      <c r="F498" s="8">
        <v>3.27</v>
      </c>
      <c r="G498" s="4">
        <v>25</v>
      </c>
      <c r="H498" s="8">
        <v>1.79</v>
      </c>
      <c r="I498" s="4">
        <v>0</v>
      </c>
    </row>
    <row r="499" spans="1:9" x14ac:dyDescent="0.15">
      <c r="A499" s="2">
        <v>7</v>
      </c>
      <c r="B499" s="1" t="s">
        <v>143</v>
      </c>
      <c r="C499" s="4">
        <v>65</v>
      </c>
      <c r="D499" s="8">
        <v>2.4500000000000002</v>
      </c>
      <c r="E499" s="4">
        <v>38</v>
      </c>
      <c r="F499" s="8">
        <v>3.03</v>
      </c>
      <c r="G499" s="4">
        <v>27</v>
      </c>
      <c r="H499" s="8">
        <v>1.93</v>
      </c>
      <c r="I499" s="4">
        <v>0</v>
      </c>
    </row>
    <row r="500" spans="1:9" x14ac:dyDescent="0.15">
      <c r="A500" s="2">
        <v>8</v>
      </c>
      <c r="B500" s="1" t="s">
        <v>153</v>
      </c>
      <c r="C500" s="4">
        <v>62</v>
      </c>
      <c r="D500" s="8">
        <v>2.34</v>
      </c>
      <c r="E500" s="4">
        <v>41</v>
      </c>
      <c r="F500" s="8">
        <v>3.27</v>
      </c>
      <c r="G500" s="4">
        <v>21</v>
      </c>
      <c r="H500" s="8">
        <v>1.5</v>
      </c>
      <c r="I500" s="4">
        <v>0</v>
      </c>
    </row>
    <row r="501" spans="1:9" x14ac:dyDescent="0.15">
      <c r="A501" s="2">
        <v>9</v>
      </c>
      <c r="B501" s="1" t="s">
        <v>184</v>
      </c>
      <c r="C501" s="4">
        <v>59</v>
      </c>
      <c r="D501" s="8">
        <v>2.2200000000000002</v>
      </c>
      <c r="E501" s="4">
        <v>59</v>
      </c>
      <c r="F501" s="8">
        <v>4.71</v>
      </c>
      <c r="G501" s="4">
        <v>0</v>
      </c>
      <c r="H501" s="8">
        <v>0</v>
      </c>
      <c r="I501" s="4">
        <v>0</v>
      </c>
    </row>
    <row r="502" spans="1:9" x14ac:dyDescent="0.15">
      <c r="A502" s="2">
        <v>9</v>
      </c>
      <c r="B502" s="1" t="s">
        <v>152</v>
      </c>
      <c r="C502" s="4">
        <v>59</v>
      </c>
      <c r="D502" s="8">
        <v>2.2200000000000002</v>
      </c>
      <c r="E502" s="4">
        <v>58</v>
      </c>
      <c r="F502" s="8">
        <v>4.63</v>
      </c>
      <c r="G502" s="4">
        <v>1</v>
      </c>
      <c r="H502" s="8">
        <v>7.0000000000000007E-2</v>
      </c>
      <c r="I502" s="4">
        <v>0</v>
      </c>
    </row>
    <row r="503" spans="1:9" x14ac:dyDescent="0.15">
      <c r="A503" s="2">
        <v>11</v>
      </c>
      <c r="B503" s="1" t="s">
        <v>149</v>
      </c>
      <c r="C503" s="4">
        <v>56</v>
      </c>
      <c r="D503" s="8">
        <v>2.11</v>
      </c>
      <c r="E503" s="4">
        <v>7</v>
      </c>
      <c r="F503" s="8">
        <v>0.56000000000000005</v>
      </c>
      <c r="G503" s="4">
        <v>49</v>
      </c>
      <c r="H503" s="8">
        <v>3.51</v>
      </c>
      <c r="I503" s="4">
        <v>0</v>
      </c>
    </row>
    <row r="504" spans="1:9" x14ac:dyDescent="0.15">
      <c r="A504" s="2">
        <v>12</v>
      </c>
      <c r="B504" s="1" t="s">
        <v>140</v>
      </c>
      <c r="C504" s="4">
        <v>52</v>
      </c>
      <c r="D504" s="8">
        <v>1.96</v>
      </c>
      <c r="E504" s="4">
        <v>5</v>
      </c>
      <c r="F504" s="8">
        <v>0.4</v>
      </c>
      <c r="G504" s="4">
        <v>47</v>
      </c>
      <c r="H504" s="8">
        <v>3.36</v>
      </c>
      <c r="I504" s="4">
        <v>0</v>
      </c>
    </row>
    <row r="505" spans="1:9" x14ac:dyDescent="0.15">
      <c r="A505" s="2">
        <v>12</v>
      </c>
      <c r="B505" s="1" t="s">
        <v>157</v>
      </c>
      <c r="C505" s="4">
        <v>52</v>
      </c>
      <c r="D505" s="8">
        <v>1.96</v>
      </c>
      <c r="E505" s="4">
        <v>41</v>
      </c>
      <c r="F505" s="8">
        <v>3.27</v>
      </c>
      <c r="G505" s="4">
        <v>11</v>
      </c>
      <c r="H505" s="8">
        <v>0.79</v>
      </c>
      <c r="I505" s="4">
        <v>0</v>
      </c>
    </row>
    <row r="506" spans="1:9" x14ac:dyDescent="0.15">
      <c r="A506" s="2">
        <v>14</v>
      </c>
      <c r="B506" s="1" t="s">
        <v>141</v>
      </c>
      <c r="C506" s="4">
        <v>49</v>
      </c>
      <c r="D506" s="8">
        <v>1.85</v>
      </c>
      <c r="E506" s="4">
        <v>5</v>
      </c>
      <c r="F506" s="8">
        <v>0.4</v>
      </c>
      <c r="G506" s="4">
        <v>44</v>
      </c>
      <c r="H506" s="8">
        <v>3.15</v>
      </c>
      <c r="I506" s="4">
        <v>0</v>
      </c>
    </row>
    <row r="507" spans="1:9" x14ac:dyDescent="0.15">
      <c r="A507" s="2">
        <v>14</v>
      </c>
      <c r="B507" s="1" t="s">
        <v>156</v>
      </c>
      <c r="C507" s="4">
        <v>49</v>
      </c>
      <c r="D507" s="8">
        <v>1.85</v>
      </c>
      <c r="E507" s="4">
        <v>33</v>
      </c>
      <c r="F507" s="8">
        <v>2.63</v>
      </c>
      <c r="G507" s="4">
        <v>16</v>
      </c>
      <c r="H507" s="8">
        <v>1.1399999999999999</v>
      </c>
      <c r="I507" s="4">
        <v>0</v>
      </c>
    </row>
    <row r="508" spans="1:9" x14ac:dyDescent="0.15">
      <c r="A508" s="2">
        <v>16</v>
      </c>
      <c r="B508" s="1" t="s">
        <v>146</v>
      </c>
      <c r="C508" s="4">
        <v>47</v>
      </c>
      <c r="D508" s="8">
        <v>1.77</v>
      </c>
      <c r="E508" s="4">
        <v>6</v>
      </c>
      <c r="F508" s="8">
        <v>0.48</v>
      </c>
      <c r="G508" s="4">
        <v>41</v>
      </c>
      <c r="H508" s="8">
        <v>2.93</v>
      </c>
      <c r="I508" s="4">
        <v>0</v>
      </c>
    </row>
    <row r="509" spans="1:9" x14ac:dyDescent="0.15">
      <c r="A509" s="2">
        <v>17</v>
      </c>
      <c r="B509" s="1" t="s">
        <v>163</v>
      </c>
      <c r="C509" s="4">
        <v>35</v>
      </c>
      <c r="D509" s="8">
        <v>1.32</v>
      </c>
      <c r="E509" s="4">
        <v>32</v>
      </c>
      <c r="F509" s="8">
        <v>2.5499999999999998</v>
      </c>
      <c r="G509" s="4">
        <v>3</v>
      </c>
      <c r="H509" s="8">
        <v>0.21</v>
      </c>
      <c r="I509" s="4">
        <v>0</v>
      </c>
    </row>
    <row r="510" spans="1:9" x14ac:dyDescent="0.15">
      <c r="A510" s="2">
        <v>18</v>
      </c>
      <c r="B510" s="1" t="s">
        <v>161</v>
      </c>
      <c r="C510" s="4">
        <v>33</v>
      </c>
      <c r="D510" s="8">
        <v>1.24</v>
      </c>
      <c r="E510" s="4">
        <v>10</v>
      </c>
      <c r="F510" s="8">
        <v>0.8</v>
      </c>
      <c r="G510" s="4">
        <v>23</v>
      </c>
      <c r="H510" s="8">
        <v>1.65</v>
      </c>
      <c r="I510" s="4">
        <v>0</v>
      </c>
    </row>
    <row r="511" spans="1:9" x14ac:dyDescent="0.15">
      <c r="A511" s="2">
        <v>19</v>
      </c>
      <c r="B511" s="1" t="s">
        <v>139</v>
      </c>
      <c r="C511" s="4">
        <v>32</v>
      </c>
      <c r="D511" s="8">
        <v>1.21</v>
      </c>
      <c r="E511" s="4">
        <v>6</v>
      </c>
      <c r="F511" s="8">
        <v>0.48</v>
      </c>
      <c r="G511" s="4">
        <v>26</v>
      </c>
      <c r="H511" s="8">
        <v>1.86</v>
      </c>
      <c r="I511" s="4">
        <v>0</v>
      </c>
    </row>
    <row r="512" spans="1:9" x14ac:dyDescent="0.15">
      <c r="A512" s="2">
        <v>19</v>
      </c>
      <c r="B512" s="1" t="s">
        <v>158</v>
      </c>
      <c r="C512" s="4">
        <v>32</v>
      </c>
      <c r="D512" s="8">
        <v>1.21</v>
      </c>
      <c r="E512" s="4">
        <v>4</v>
      </c>
      <c r="F512" s="8">
        <v>0.32</v>
      </c>
      <c r="G512" s="4">
        <v>28</v>
      </c>
      <c r="H512" s="8">
        <v>2</v>
      </c>
      <c r="I512" s="4">
        <v>0</v>
      </c>
    </row>
    <row r="513" spans="1:9" x14ac:dyDescent="0.15">
      <c r="A513" s="2">
        <v>19</v>
      </c>
      <c r="B513" s="1" t="s">
        <v>166</v>
      </c>
      <c r="C513" s="4">
        <v>32</v>
      </c>
      <c r="D513" s="8">
        <v>1.21</v>
      </c>
      <c r="E513" s="4">
        <v>13</v>
      </c>
      <c r="F513" s="8">
        <v>1.04</v>
      </c>
      <c r="G513" s="4">
        <v>19</v>
      </c>
      <c r="H513" s="8">
        <v>1.36</v>
      </c>
      <c r="I513" s="4">
        <v>0</v>
      </c>
    </row>
    <row r="514" spans="1:9" x14ac:dyDescent="0.15">
      <c r="A514" s="1"/>
      <c r="C514" s="4"/>
      <c r="D514" s="8"/>
      <c r="E514" s="4"/>
      <c r="F514" s="8"/>
      <c r="G514" s="4"/>
      <c r="H514" s="8"/>
      <c r="I514" s="4"/>
    </row>
    <row r="515" spans="1:9" x14ac:dyDescent="0.15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15">
      <c r="A516" s="2">
        <v>1</v>
      </c>
      <c r="B516" s="1" t="s">
        <v>148</v>
      </c>
      <c r="C516" s="4">
        <v>228</v>
      </c>
      <c r="D516" s="8">
        <v>5.84</v>
      </c>
      <c r="E516" s="4">
        <v>136</v>
      </c>
      <c r="F516" s="8">
        <v>7.64</v>
      </c>
      <c r="G516" s="4">
        <v>92</v>
      </c>
      <c r="H516" s="8">
        <v>4.33</v>
      </c>
      <c r="I516" s="4">
        <v>0</v>
      </c>
    </row>
    <row r="517" spans="1:9" x14ac:dyDescent="0.15">
      <c r="A517" s="2">
        <v>2</v>
      </c>
      <c r="B517" s="1" t="s">
        <v>150</v>
      </c>
      <c r="C517" s="4">
        <v>180</v>
      </c>
      <c r="D517" s="8">
        <v>4.6100000000000003</v>
      </c>
      <c r="E517" s="4">
        <v>124</v>
      </c>
      <c r="F517" s="8">
        <v>6.96</v>
      </c>
      <c r="G517" s="4">
        <v>56</v>
      </c>
      <c r="H517" s="8">
        <v>2.64</v>
      </c>
      <c r="I517" s="4">
        <v>0</v>
      </c>
    </row>
    <row r="518" spans="1:9" x14ac:dyDescent="0.15">
      <c r="A518" s="2">
        <v>3</v>
      </c>
      <c r="B518" s="1" t="s">
        <v>151</v>
      </c>
      <c r="C518" s="4">
        <v>178</v>
      </c>
      <c r="D518" s="8">
        <v>4.5599999999999996</v>
      </c>
      <c r="E518" s="4">
        <v>155</v>
      </c>
      <c r="F518" s="8">
        <v>8.6999999999999993</v>
      </c>
      <c r="G518" s="4">
        <v>23</v>
      </c>
      <c r="H518" s="8">
        <v>1.08</v>
      </c>
      <c r="I518" s="4">
        <v>0</v>
      </c>
    </row>
    <row r="519" spans="1:9" x14ac:dyDescent="0.15">
      <c r="A519" s="2">
        <v>4</v>
      </c>
      <c r="B519" s="1" t="s">
        <v>155</v>
      </c>
      <c r="C519" s="4">
        <v>161</v>
      </c>
      <c r="D519" s="8">
        <v>4.12</v>
      </c>
      <c r="E519" s="4">
        <v>113</v>
      </c>
      <c r="F519" s="8">
        <v>6.34</v>
      </c>
      <c r="G519" s="4">
        <v>48</v>
      </c>
      <c r="H519" s="8">
        <v>2.2599999999999998</v>
      </c>
      <c r="I519" s="4">
        <v>0</v>
      </c>
    </row>
    <row r="520" spans="1:9" x14ac:dyDescent="0.15">
      <c r="A520" s="2">
        <v>5</v>
      </c>
      <c r="B520" s="1" t="s">
        <v>157</v>
      </c>
      <c r="C520" s="4">
        <v>128</v>
      </c>
      <c r="D520" s="8">
        <v>3.28</v>
      </c>
      <c r="E520" s="4">
        <v>105</v>
      </c>
      <c r="F520" s="8">
        <v>5.9</v>
      </c>
      <c r="G520" s="4">
        <v>23</v>
      </c>
      <c r="H520" s="8">
        <v>1.08</v>
      </c>
      <c r="I520" s="4">
        <v>0</v>
      </c>
    </row>
    <row r="521" spans="1:9" x14ac:dyDescent="0.15">
      <c r="A521" s="2">
        <v>6</v>
      </c>
      <c r="B521" s="1" t="s">
        <v>146</v>
      </c>
      <c r="C521" s="4">
        <v>109</v>
      </c>
      <c r="D521" s="8">
        <v>2.79</v>
      </c>
      <c r="E521" s="4">
        <v>15</v>
      </c>
      <c r="F521" s="8">
        <v>0.84</v>
      </c>
      <c r="G521" s="4">
        <v>94</v>
      </c>
      <c r="H521" s="8">
        <v>4.43</v>
      </c>
      <c r="I521" s="4">
        <v>0</v>
      </c>
    </row>
    <row r="522" spans="1:9" x14ac:dyDescent="0.15">
      <c r="A522" s="2">
        <v>7</v>
      </c>
      <c r="B522" s="1" t="s">
        <v>145</v>
      </c>
      <c r="C522" s="4">
        <v>103</v>
      </c>
      <c r="D522" s="8">
        <v>2.64</v>
      </c>
      <c r="E522" s="4">
        <v>55</v>
      </c>
      <c r="F522" s="8">
        <v>3.09</v>
      </c>
      <c r="G522" s="4">
        <v>48</v>
      </c>
      <c r="H522" s="8">
        <v>2.2599999999999998</v>
      </c>
      <c r="I522" s="4">
        <v>0</v>
      </c>
    </row>
    <row r="523" spans="1:9" x14ac:dyDescent="0.15">
      <c r="A523" s="2">
        <v>8</v>
      </c>
      <c r="B523" s="1" t="s">
        <v>152</v>
      </c>
      <c r="C523" s="4">
        <v>99</v>
      </c>
      <c r="D523" s="8">
        <v>2.54</v>
      </c>
      <c r="E523" s="4">
        <v>85</v>
      </c>
      <c r="F523" s="8">
        <v>4.7699999999999996</v>
      </c>
      <c r="G523" s="4">
        <v>14</v>
      </c>
      <c r="H523" s="8">
        <v>0.66</v>
      </c>
      <c r="I523" s="4">
        <v>0</v>
      </c>
    </row>
    <row r="524" spans="1:9" x14ac:dyDescent="0.15">
      <c r="A524" s="2">
        <v>9</v>
      </c>
      <c r="B524" s="1" t="s">
        <v>156</v>
      </c>
      <c r="C524" s="4">
        <v>96</v>
      </c>
      <c r="D524" s="8">
        <v>2.46</v>
      </c>
      <c r="E524" s="4">
        <v>70</v>
      </c>
      <c r="F524" s="8">
        <v>3.93</v>
      </c>
      <c r="G524" s="4">
        <v>26</v>
      </c>
      <c r="H524" s="8">
        <v>1.22</v>
      </c>
      <c r="I524" s="4">
        <v>0</v>
      </c>
    </row>
    <row r="525" spans="1:9" x14ac:dyDescent="0.15">
      <c r="A525" s="2">
        <v>10</v>
      </c>
      <c r="B525" s="1" t="s">
        <v>153</v>
      </c>
      <c r="C525" s="4">
        <v>93</v>
      </c>
      <c r="D525" s="8">
        <v>2.38</v>
      </c>
      <c r="E525" s="4">
        <v>63</v>
      </c>
      <c r="F525" s="8">
        <v>3.54</v>
      </c>
      <c r="G525" s="4">
        <v>30</v>
      </c>
      <c r="H525" s="8">
        <v>1.41</v>
      </c>
      <c r="I525" s="4">
        <v>0</v>
      </c>
    </row>
    <row r="526" spans="1:9" x14ac:dyDescent="0.15">
      <c r="A526" s="2">
        <v>11</v>
      </c>
      <c r="B526" s="1" t="s">
        <v>143</v>
      </c>
      <c r="C526" s="4">
        <v>90</v>
      </c>
      <c r="D526" s="8">
        <v>2.2999999999999998</v>
      </c>
      <c r="E526" s="4">
        <v>48</v>
      </c>
      <c r="F526" s="8">
        <v>2.7</v>
      </c>
      <c r="G526" s="4">
        <v>42</v>
      </c>
      <c r="H526" s="8">
        <v>1.98</v>
      </c>
      <c r="I526" s="4">
        <v>0</v>
      </c>
    </row>
    <row r="527" spans="1:9" x14ac:dyDescent="0.15">
      <c r="A527" s="2">
        <v>12</v>
      </c>
      <c r="B527" s="1" t="s">
        <v>154</v>
      </c>
      <c r="C527" s="4">
        <v>89</v>
      </c>
      <c r="D527" s="8">
        <v>2.2799999999999998</v>
      </c>
      <c r="E527" s="4">
        <v>81</v>
      </c>
      <c r="F527" s="8">
        <v>4.55</v>
      </c>
      <c r="G527" s="4">
        <v>8</v>
      </c>
      <c r="H527" s="8">
        <v>0.38</v>
      </c>
      <c r="I527" s="4">
        <v>0</v>
      </c>
    </row>
    <row r="528" spans="1:9" x14ac:dyDescent="0.15">
      <c r="A528" s="2">
        <v>13</v>
      </c>
      <c r="B528" s="1" t="s">
        <v>149</v>
      </c>
      <c r="C528" s="4">
        <v>88</v>
      </c>
      <c r="D528" s="8">
        <v>2.25</v>
      </c>
      <c r="E528" s="4">
        <v>3</v>
      </c>
      <c r="F528" s="8">
        <v>0.17</v>
      </c>
      <c r="G528" s="4">
        <v>85</v>
      </c>
      <c r="H528" s="8">
        <v>4</v>
      </c>
      <c r="I528" s="4">
        <v>0</v>
      </c>
    </row>
    <row r="529" spans="1:9" x14ac:dyDescent="0.15">
      <c r="A529" s="2">
        <v>14</v>
      </c>
      <c r="B529" s="1" t="s">
        <v>163</v>
      </c>
      <c r="C529" s="4">
        <v>71</v>
      </c>
      <c r="D529" s="8">
        <v>1.82</v>
      </c>
      <c r="E529" s="4">
        <v>70</v>
      </c>
      <c r="F529" s="8">
        <v>3.93</v>
      </c>
      <c r="G529" s="4">
        <v>1</v>
      </c>
      <c r="H529" s="8">
        <v>0.05</v>
      </c>
      <c r="I529" s="4">
        <v>0</v>
      </c>
    </row>
    <row r="530" spans="1:9" x14ac:dyDescent="0.15">
      <c r="A530" s="2">
        <v>15</v>
      </c>
      <c r="B530" s="1" t="s">
        <v>161</v>
      </c>
      <c r="C530" s="4">
        <v>60</v>
      </c>
      <c r="D530" s="8">
        <v>1.54</v>
      </c>
      <c r="E530" s="4">
        <v>11</v>
      </c>
      <c r="F530" s="8">
        <v>0.62</v>
      </c>
      <c r="G530" s="4">
        <v>49</v>
      </c>
      <c r="H530" s="8">
        <v>2.31</v>
      </c>
      <c r="I530" s="4">
        <v>0</v>
      </c>
    </row>
    <row r="531" spans="1:9" x14ac:dyDescent="0.15">
      <c r="A531" s="2">
        <v>16</v>
      </c>
      <c r="B531" s="1" t="s">
        <v>142</v>
      </c>
      <c r="C531" s="4">
        <v>55</v>
      </c>
      <c r="D531" s="8">
        <v>1.41</v>
      </c>
      <c r="E531" s="4">
        <v>20</v>
      </c>
      <c r="F531" s="8">
        <v>1.1200000000000001</v>
      </c>
      <c r="G531" s="4">
        <v>35</v>
      </c>
      <c r="H531" s="8">
        <v>1.65</v>
      </c>
      <c r="I531" s="4">
        <v>0</v>
      </c>
    </row>
    <row r="532" spans="1:9" x14ac:dyDescent="0.15">
      <c r="A532" s="2">
        <v>17</v>
      </c>
      <c r="B532" s="1" t="s">
        <v>159</v>
      </c>
      <c r="C532" s="4">
        <v>49</v>
      </c>
      <c r="D532" s="8">
        <v>1.25</v>
      </c>
      <c r="E532" s="4">
        <v>11</v>
      </c>
      <c r="F532" s="8">
        <v>0.62</v>
      </c>
      <c r="G532" s="4">
        <v>38</v>
      </c>
      <c r="H532" s="8">
        <v>1.79</v>
      </c>
      <c r="I532" s="4">
        <v>0</v>
      </c>
    </row>
    <row r="533" spans="1:9" x14ac:dyDescent="0.15">
      <c r="A533" s="2">
        <v>18</v>
      </c>
      <c r="B533" s="1" t="s">
        <v>139</v>
      </c>
      <c r="C533" s="4">
        <v>47</v>
      </c>
      <c r="D533" s="8">
        <v>1.2</v>
      </c>
      <c r="E533" s="4">
        <v>7</v>
      </c>
      <c r="F533" s="8">
        <v>0.39</v>
      </c>
      <c r="G533" s="4">
        <v>40</v>
      </c>
      <c r="H533" s="8">
        <v>1.88</v>
      </c>
      <c r="I533" s="4">
        <v>0</v>
      </c>
    </row>
    <row r="534" spans="1:9" x14ac:dyDescent="0.15">
      <c r="A534" s="2">
        <v>19</v>
      </c>
      <c r="B534" s="1" t="s">
        <v>141</v>
      </c>
      <c r="C534" s="4">
        <v>44</v>
      </c>
      <c r="D534" s="8">
        <v>1.1299999999999999</v>
      </c>
      <c r="E534" s="4">
        <v>3</v>
      </c>
      <c r="F534" s="8">
        <v>0.17</v>
      </c>
      <c r="G534" s="4">
        <v>41</v>
      </c>
      <c r="H534" s="8">
        <v>1.93</v>
      </c>
      <c r="I534" s="4">
        <v>0</v>
      </c>
    </row>
    <row r="535" spans="1:9" x14ac:dyDescent="0.15">
      <c r="A535" s="2">
        <v>20</v>
      </c>
      <c r="B535" s="1" t="s">
        <v>183</v>
      </c>
      <c r="C535" s="4">
        <v>36</v>
      </c>
      <c r="D535" s="8">
        <v>0.92</v>
      </c>
      <c r="E535" s="4">
        <v>22</v>
      </c>
      <c r="F535" s="8">
        <v>1.24</v>
      </c>
      <c r="G535" s="4">
        <v>14</v>
      </c>
      <c r="H535" s="8">
        <v>0.66</v>
      </c>
      <c r="I535" s="4">
        <v>0</v>
      </c>
    </row>
    <row r="536" spans="1:9" x14ac:dyDescent="0.15">
      <c r="A536" s="1"/>
      <c r="C536" s="4"/>
      <c r="D536" s="8"/>
      <c r="E536" s="4"/>
      <c r="F536" s="8"/>
      <c r="G536" s="4"/>
      <c r="H536" s="8"/>
      <c r="I536" s="4"/>
    </row>
    <row r="537" spans="1:9" x14ac:dyDescent="0.15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15">
      <c r="A538" s="2">
        <v>1</v>
      </c>
      <c r="B538" s="1" t="s">
        <v>148</v>
      </c>
      <c r="C538" s="4">
        <v>313</v>
      </c>
      <c r="D538" s="8">
        <v>9.4600000000000009</v>
      </c>
      <c r="E538" s="4">
        <v>191</v>
      </c>
      <c r="F538" s="8">
        <v>15.18</v>
      </c>
      <c r="G538" s="4">
        <v>122</v>
      </c>
      <c r="H538" s="8">
        <v>5.96</v>
      </c>
      <c r="I538" s="4">
        <v>0</v>
      </c>
    </row>
    <row r="539" spans="1:9" x14ac:dyDescent="0.15">
      <c r="A539" s="2">
        <v>2</v>
      </c>
      <c r="B539" s="1" t="s">
        <v>149</v>
      </c>
      <c r="C539" s="4">
        <v>114</v>
      </c>
      <c r="D539" s="8">
        <v>3.45</v>
      </c>
      <c r="E539" s="4">
        <v>4</v>
      </c>
      <c r="F539" s="8">
        <v>0.32</v>
      </c>
      <c r="G539" s="4">
        <v>110</v>
      </c>
      <c r="H539" s="8">
        <v>5.37</v>
      </c>
      <c r="I539" s="4">
        <v>0</v>
      </c>
    </row>
    <row r="540" spans="1:9" x14ac:dyDescent="0.15">
      <c r="A540" s="2">
        <v>2</v>
      </c>
      <c r="B540" s="1" t="s">
        <v>151</v>
      </c>
      <c r="C540" s="4">
        <v>114</v>
      </c>
      <c r="D540" s="8">
        <v>3.45</v>
      </c>
      <c r="E540" s="4">
        <v>100</v>
      </c>
      <c r="F540" s="8">
        <v>7.95</v>
      </c>
      <c r="G540" s="4">
        <v>14</v>
      </c>
      <c r="H540" s="8">
        <v>0.68</v>
      </c>
      <c r="I540" s="4">
        <v>0</v>
      </c>
    </row>
    <row r="541" spans="1:9" x14ac:dyDescent="0.15">
      <c r="A541" s="2">
        <v>4</v>
      </c>
      <c r="B541" s="1" t="s">
        <v>155</v>
      </c>
      <c r="C541" s="4">
        <v>113</v>
      </c>
      <c r="D541" s="8">
        <v>3.42</v>
      </c>
      <c r="E541" s="4">
        <v>81</v>
      </c>
      <c r="F541" s="8">
        <v>6.44</v>
      </c>
      <c r="G541" s="4">
        <v>32</v>
      </c>
      <c r="H541" s="8">
        <v>1.56</v>
      </c>
      <c r="I541" s="4">
        <v>0</v>
      </c>
    </row>
    <row r="542" spans="1:9" x14ac:dyDescent="0.15">
      <c r="A542" s="2">
        <v>5</v>
      </c>
      <c r="B542" s="1" t="s">
        <v>150</v>
      </c>
      <c r="C542" s="4">
        <v>87</v>
      </c>
      <c r="D542" s="8">
        <v>2.63</v>
      </c>
      <c r="E542" s="4">
        <v>61</v>
      </c>
      <c r="F542" s="8">
        <v>4.8499999999999996</v>
      </c>
      <c r="G542" s="4">
        <v>26</v>
      </c>
      <c r="H542" s="8">
        <v>1.27</v>
      </c>
      <c r="I542" s="4">
        <v>0</v>
      </c>
    </row>
    <row r="543" spans="1:9" x14ac:dyDescent="0.15">
      <c r="A543" s="2">
        <v>6</v>
      </c>
      <c r="B543" s="1" t="s">
        <v>157</v>
      </c>
      <c r="C543" s="4">
        <v>76</v>
      </c>
      <c r="D543" s="8">
        <v>2.2999999999999998</v>
      </c>
      <c r="E543" s="4">
        <v>59</v>
      </c>
      <c r="F543" s="8">
        <v>4.6900000000000004</v>
      </c>
      <c r="G543" s="4">
        <v>17</v>
      </c>
      <c r="H543" s="8">
        <v>0.83</v>
      </c>
      <c r="I543" s="4">
        <v>0</v>
      </c>
    </row>
    <row r="544" spans="1:9" x14ac:dyDescent="0.15">
      <c r="A544" s="2">
        <v>7</v>
      </c>
      <c r="B544" s="1" t="s">
        <v>154</v>
      </c>
      <c r="C544" s="4">
        <v>75</v>
      </c>
      <c r="D544" s="8">
        <v>2.27</v>
      </c>
      <c r="E544" s="4">
        <v>66</v>
      </c>
      <c r="F544" s="8">
        <v>5.25</v>
      </c>
      <c r="G544" s="4">
        <v>9</v>
      </c>
      <c r="H544" s="8">
        <v>0.44</v>
      </c>
      <c r="I544" s="4">
        <v>0</v>
      </c>
    </row>
    <row r="545" spans="1:9" x14ac:dyDescent="0.15">
      <c r="A545" s="2">
        <v>8</v>
      </c>
      <c r="B545" s="1" t="s">
        <v>153</v>
      </c>
      <c r="C545" s="4">
        <v>70</v>
      </c>
      <c r="D545" s="8">
        <v>2.12</v>
      </c>
      <c r="E545" s="4">
        <v>34</v>
      </c>
      <c r="F545" s="8">
        <v>2.7</v>
      </c>
      <c r="G545" s="4">
        <v>36</v>
      </c>
      <c r="H545" s="8">
        <v>1.76</v>
      </c>
      <c r="I545" s="4">
        <v>0</v>
      </c>
    </row>
    <row r="546" spans="1:9" x14ac:dyDescent="0.15">
      <c r="A546" s="2">
        <v>9</v>
      </c>
      <c r="B546" s="1" t="s">
        <v>156</v>
      </c>
      <c r="C546" s="4">
        <v>63</v>
      </c>
      <c r="D546" s="8">
        <v>1.91</v>
      </c>
      <c r="E546" s="4">
        <v>46</v>
      </c>
      <c r="F546" s="8">
        <v>3.66</v>
      </c>
      <c r="G546" s="4">
        <v>16</v>
      </c>
      <c r="H546" s="8">
        <v>0.78</v>
      </c>
      <c r="I546" s="4">
        <v>1</v>
      </c>
    </row>
    <row r="547" spans="1:9" x14ac:dyDescent="0.15">
      <c r="A547" s="2">
        <v>10</v>
      </c>
      <c r="B547" s="1" t="s">
        <v>152</v>
      </c>
      <c r="C547" s="4">
        <v>58</v>
      </c>
      <c r="D547" s="8">
        <v>1.75</v>
      </c>
      <c r="E547" s="4">
        <v>54</v>
      </c>
      <c r="F547" s="8">
        <v>4.29</v>
      </c>
      <c r="G547" s="4">
        <v>4</v>
      </c>
      <c r="H547" s="8">
        <v>0.2</v>
      </c>
      <c r="I547" s="4">
        <v>0</v>
      </c>
    </row>
    <row r="548" spans="1:9" x14ac:dyDescent="0.15">
      <c r="A548" s="2">
        <v>11</v>
      </c>
      <c r="B548" s="1" t="s">
        <v>145</v>
      </c>
      <c r="C548" s="4">
        <v>56</v>
      </c>
      <c r="D548" s="8">
        <v>1.69</v>
      </c>
      <c r="E548" s="4">
        <v>24</v>
      </c>
      <c r="F548" s="8">
        <v>1.91</v>
      </c>
      <c r="G548" s="4">
        <v>32</v>
      </c>
      <c r="H548" s="8">
        <v>1.56</v>
      </c>
      <c r="I548" s="4">
        <v>0</v>
      </c>
    </row>
    <row r="549" spans="1:9" x14ac:dyDescent="0.15">
      <c r="A549" s="2">
        <v>12</v>
      </c>
      <c r="B549" s="1" t="s">
        <v>146</v>
      </c>
      <c r="C549" s="4">
        <v>46</v>
      </c>
      <c r="D549" s="8">
        <v>1.39</v>
      </c>
      <c r="E549" s="4">
        <v>4</v>
      </c>
      <c r="F549" s="8">
        <v>0.32</v>
      </c>
      <c r="G549" s="4">
        <v>42</v>
      </c>
      <c r="H549" s="8">
        <v>2.0499999999999998</v>
      </c>
      <c r="I549" s="4">
        <v>0</v>
      </c>
    </row>
    <row r="550" spans="1:9" x14ac:dyDescent="0.15">
      <c r="A550" s="2">
        <v>13</v>
      </c>
      <c r="B550" s="1" t="s">
        <v>177</v>
      </c>
      <c r="C550" s="4">
        <v>45</v>
      </c>
      <c r="D550" s="8">
        <v>1.36</v>
      </c>
      <c r="E550" s="4">
        <v>11</v>
      </c>
      <c r="F550" s="8">
        <v>0.87</v>
      </c>
      <c r="G550" s="4">
        <v>34</v>
      </c>
      <c r="H550" s="8">
        <v>1.66</v>
      </c>
      <c r="I550" s="4">
        <v>0</v>
      </c>
    </row>
    <row r="551" spans="1:9" x14ac:dyDescent="0.15">
      <c r="A551" s="2">
        <v>13</v>
      </c>
      <c r="B551" s="1" t="s">
        <v>143</v>
      </c>
      <c r="C551" s="4">
        <v>45</v>
      </c>
      <c r="D551" s="8">
        <v>1.36</v>
      </c>
      <c r="E551" s="4">
        <v>19</v>
      </c>
      <c r="F551" s="8">
        <v>1.51</v>
      </c>
      <c r="G551" s="4">
        <v>26</v>
      </c>
      <c r="H551" s="8">
        <v>1.27</v>
      </c>
      <c r="I551" s="4">
        <v>0</v>
      </c>
    </row>
    <row r="552" spans="1:9" x14ac:dyDescent="0.15">
      <c r="A552" s="2">
        <v>15</v>
      </c>
      <c r="B552" s="1" t="s">
        <v>140</v>
      </c>
      <c r="C552" s="4">
        <v>43</v>
      </c>
      <c r="D552" s="8">
        <v>1.3</v>
      </c>
      <c r="E552" s="4">
        <v>8</v>
      </c>
      <c r="F552" s="8">
        <v>0.64</v>
      </c>
      <c r="G552" s="4">
        <v>35</v>
      </c>
      <c r="H552" s="8">
        <v>1.71</v>
      </c>
      <c r="I552" s="4">
        <v>0</v>
      </c>
    </row>
    <row r="553" spans="1:9" x14ac:dyDescent="0.15">
      <c r="A553" s="2">
        <v>15</v>
      </c>
      <c r="B553" s="1" t="s">
        <v>141</v>
      </c>
      <c r="C553" s="4">
        <v>43</v>
      </c>
      <c r="D553" s="8">
        <v>1.3</v>
      </c>
      <c r="E553" s="4">
        <v>2</v>
      </c>
      <c r="F553" s="8">
        <v>0.16</v>
      </c>
      <c r="G553" s="4">
        <v>41</v>
      </c>
      <c r="H553" s="8">
        <v>2</v>
      </c>
      <c r="I553" s="4">
        <v>0</v>
      </c>
    </row>
    <row r="554" spans="1:9" x14ac:dyDescent="0.15">
      <c r="A554" s="2">
        <v>17</v>
      </c>
      <c r="B554" s="1" t="s">
        <v>158</v>
      </c>
      <c r="C554" s="4">
        <v>42</v>
      </c>
      <c r="D554" s="8">
        <v>1.27</v>
      </c>
      <c r="E554" s="4">
        <v>5</v>
      </c>
      <c r="F554" s="8">
        <v>0.4</v>
      </c>
      <c r="G554" s="4">
        <v>37</v>
      </c>
      <c r="H554" s="8">
        <v>1.81</v>
      </c>
      <c r="I554" s="4">
        <v>0</v>
      </c>
    </row>
    <row r="555" spans="1:9" x14ac:dyDescent="0.15">
      <c r="A555" s="2">
        <v>18</v>
      </c>
      <c r="B555" s="1" t="s">
        <v>142</v>
      </c>
      <c r="C555" s="4">
        <v>40</v>
      </c>
      <c r="D555" s="8">
        <v>1.21</v>
      </c>
      <c r="E555" s="4">
        <v>14</v>
      </c>
      <c r="F555" s="8">
        <v>1.1100000000000001</v>
      </c>
      <c r="G555" s="4">
        <v>26</v>
      </c>
      <c r="H555" s="8">
        <v>1.27</v>
      </c>
      <c r="I555" s="4">
        <v>0</v>
      </c>
    </row>
    <row r="556" spans="1:9" x14ac:dyDescent="0.15">
      <c r="A556" s="2">
        <v>19</v>
      </c>
      <c r="B556" s="1" t="s">
        <v>171</v>
      </c>
      <c r="C556" s="4">
        <v>35</v>
      </c>
      <c r="D556" s="8">
        <v>1.06</v>
      </c>
      <c r="E556" s="4">
        <v>11</v>
      </c>
      <c r="F556" s="8">
        <v>0.87</v>
      </c>
      <c r="G556" s="4">
        <v>24</v>
      </c>
      <c r="H556" s="8">
        <v>1.17</v>
      </c>
      <c r="I556" s="4">
        <v>0</v>
      </c>
    </row>
    <row r="557" spans="1:9" x14ac:dyDescent="0.15">
      <c r="A557" s="2">
        <v>20</v>
      </c>
      <c r="B557" s="1" t="s">
        <v>139</v>
      </c>
      <c r="C557" s="4">
        <v>34</v>
      </c>
      <c r="D557" s="8">
        <v>1.03</v>
      </c>
      <c r="E557" s="4">
        <v>2</v>
      </c>
      <c r="F557" s="8">
        <v>0.16</v>
      </c>
      <c r="G557" s="4">
        <v>32</v>
      </c>
      <c r="H557" s="8">
        <v>1.56</v>
      </c>
      <c r="I557" s="4">
        <v>0</v>
      </c>
    </row>
    <row r="558" spans="1:9" x14ac:dyDescent="0.15">
      <c r="A558" s="2">
        <v>20</v>
      </c>
      <c r="B558" s="1" t="s">
        <v>174</v>
      </c>
      <c r="C558" s="4">
        <v>34</v>
      </c>
      <c r="D558" s="8">
        <v>1.03</v>
      </c>
      <c r="E558" s="4">
        <v>7</v>
      </c>
      <c r="F558" s="8">
        <v>0.56000000000000005</v>
      </c>
      <c r="G558" s="4">
        <v>27</v>
      </c>
      <c r="H558" s="8">
        <v>1.32</v>
      </c>
      <c r="I558" s="4">
        <v>0</v>
      </c>
    </row>
    <row r="559" spans="1:9" x14ac:dyDescent="0.15">
      <c r="A559" s="2">
        <v>20</v>
      </c>
      <c r="B559" s="1" t="s">
        <v>161</v>
      </c>
      <c r="C559" s="4">
        <v>34</v>
      </c>
      <c r="D559" s="8">
        <v>1.03</v>
      </c>
      <c r="E559" s="4">
        <v>8</v>
      </c>
      <c r="F559" s="8">
        <v>0.64</v>
      </c>
      <c r="G559" s="4">
        <v>26</v>
      </c>
      <c r="H559" s="8">
        <v>1.27</v>
      </c>
      <c r="I559" s="4">
        <v>0</v>
      </c>
    </row>
    <row r="560" spans="1:9" x14ac:dyDescent="0.15">
      <c r="A560" s="1"/>
      <c r="C560" s="4"/>
      <c r="D560" s="8"/>
      <c r="E560" s="4"/>
      <c r="F560" s="8"/>
      <c r="G560" s="4"/>
      <c r="H560" s="8"/>
      <c r="I560" s="4"/>
    </row>
    <row r="561" spans="1:9" x14ac:dyDescent="0.15">
      <c r="A561" s="1" t="s">
        <v>25</v>
      </c>
      <c r="C561" s="4"/>
      <c r="D561" s="8"/>
      <c r="E561" s="4"/>
      <c r="F561" s="8"/>
      <c r="G561" s="4"/>
      <c r="H561" s="8"/>
      <c r="I561" s="4"/>
    </row>
    <row r="562" spans="1:9" x14ac:dyDescent="0.15">
      <c r="A562" s="2">
        <v>1</v>
      </c>
      <c r="B562" s="1" t="s">
        <v>148</v>
      </c>
      <c r="C562" s="4">
        <v>240</v>
      </c>
      <c r="D562" s="8">
        <v>8.41</v>
      </c>
      <c r="E562" s="4">
        <v>136</v>
      </c>
      <c r="F562" s="8">
        <v>10.42</v>
      </c>
      <c r="G562" s="4">
        <v>104</v>
      </c>
      <c r="H562" s="8">
        <v>6.72</v>
      </c>
      <c r="I562" s="4">
        <v>0</v>
      </c>
    </row>
    <row r="563" spans="1:9" x14ac:dyDescent="0.15">
      <c r="A563" s="2">
        <v>2</v>
      </c>
      <c r="B563" s="1" t="s">
        <v>155</v>
      </c>
      <c r="C563" s="4">
        <v>137</v>
      </c>
      <c r="D563" s="8">
        <v>4.8</v>
      </c>
      <c r="E563" s="4">
        <v>108</v>
      </c>
      <c r="F563" s="8">
        <v>8.2799999999999994</v>
      </c>
      <c r="G563" s="4">
        <v>29</v>
      </c>
      <c r="H563" s="8">
        <v>1.87</v>
      </c>
      <c r="I563" s="4">
        <v>0</v>
      </c>
    </row>
    <row r="564" spans="1:9" x14ac:dyDescent="0.15">
      <c r="A564" s="2">
        <v>3</v>
      </c>
      <c r="B564" s="1" t="s">
        <v>151</v>
      </c>
      <c r="C564" s="4">
        <v>121</v>
      </c>
      <c r="D564" s="8">
        <v>4.24</v>
      </c>
      <c r="E564" s="4">
        <v>110</v>
      </c>
      <c r="F564" s="8">
        <v>8.43</v>
      </c>
      <c r="G564" s="4">
        <v>11</v>
      </c>
      <c r="H564" s="8">
        <v>0.71</v>
      </c>
      <c r="I564" s="4">
        <v>0</v>
      </c>
    </row>
    <row r="565" spans="1:9" x14ac:dyDescent="0.15">
      <c r="A565" s="2">
        <v>4</v>
      </c>
      <c r="B565" s="1" t="s">
        <v>149</v>
      </c>
      <c r="C565" s="4">
        <v>101</v>
      </c>
      <c r="D565" s="8">
        <v>3.54</v>
      </c>
      <c r="E565" s="4">
        <v>3</v>
      </c>
      <c r="F565" s="8">
        <v>0.23</v>
      </c>
      <c r="G565" s="4">
        <v>98</v>
      </c>
      <c r="H565" s="8">
        <v>6.33</v>
      </c>
      <c r="I565" s="4">
        <v>0</v>
      </c>
    </row>
    <row r="566" spans="1:9" x14ac:dyDescent="0.15">
      <c r="A566" s="2">
        <v>5</v>
      </c>
      <c r="B566" s="1" t="s">
        <v>157</v>
      </c>
      <c r="C566" s="4">
        <v>99</v>
      </c>
      <c r="D566" s="8">
        <v>3.47</v>
      </c>
      <c r="E566" s="4">
        <v>80</v>
      </c>
      <c r="F566" s="8">
        <v>6.13</v>
      </c>
      <c r="G566" s="4">
        <v>19</v>
      </c>
      <c r="H566" s="8">
        <v>1.23</v>
      </c>
      <c r="I566" s="4">
        <v>0</v>
      </c>
    </row>
    <row r="567" spans="1:9" x14ac:dyDescent="0.15">
      <c r="A567" s="2">
        <v>6</v>
      </c>
      <c r="B567" s="1" t="s">
        <v>154</v>
      </c>
      <c r="C567" s="4">
        <v>79</v>
      </c>
      <c r="D567" s="8">
        <v>2.77</v>
      </c>
      <c r="E567" s="4">
        <v>66</v>
      </c>
      <c r="F567" s="8">
        <v>5.0599999999999996</v>
      </c>
      <c r="G567" s="4">
        <v>13</v>
      </c>
      <c r="H567" s="8">
        <v>0.84</v>
      </c>
      <c r="I567" s="4">
        <v>0</v>
      </c>
    </row>
    <row r="568" spans="1:9" x14ac:dyDescent="0.15">
      <c r="A568" s="2">
        <v>7</v>
      </c>
      <c r="B568" s="1" t="s">
        <v>150</v>
      </c>
      <c r="C568" s="4">
        <v>72</v>
      </c>
      <c r="D568" s="8">
        <v>2.52</v>
      </c>
      <c r="E568" s="4">
        <v>56</v>
      </c>
      <c r="F568" s="8">
        <v>4.29</v>
      </c>
      <c r="G568" s="4">
        <v>16</v>
      </c>
      <c r="H568" s="8">
        <v>1.03</v>
      </c>
      <c r="I568" s="4">
        <v>0</v>
      </c>
    </row>
    <row r="569" spans="1:9" x14ac:dyDescent="0.15">
      <c r="A569" s="2">
        <v>8</v>
      </c>
      <c r="B569" s="1" t="s">
        <v>156</v>
      </c>
      <c r="C569" s="4">
        <v>67</v>
      </c>
      <c r="D569" s="8">
        <v>2.35</v>
      </c>
      <c r="E569" s="4">
        <v>50</v>
      </c>
      <c r="F569" s="8">
        <v>3.83</v>
      </c>
      <c r="G569" s="4">
        <v>16</v>
      </c>
      <c r="H569" s="8">
        <v>1.03</v>
      </c>
      <c r="I569" s="4">
        <v>1</v>
      </c>
    </row>
    <row r="570" spans="1:9" x14ac:dyDescent="0.15">
      <c r="A570" s="2">
        <v>9</v>
      </c>
      <c r="B570" s="1" t="s">
        <v>145</v>
      </c>
      <c r="C570" s="4">
        <v>66</v>
      </c>
      <c r="D570" s="8">
        <v>2.31</v>
      </c>
      <c r="E570" s="4">
        <v>43</v>
      </c>
      <c r="F570" s="8">
        <v>3.3</v>
      </c>
      <c r="G570" s="4">
        <v>23</v>
      </c>
      <c r="H570" s="8">
        <v>1.49</v>
      </c>
      <c r="I570" s="4">
        <v>0</v>
      </c>
    </row>
    <row r="571" spans="1:9" x14ac:dyDescent="0.15">
      <c r="A571" s="2">
        <v>10</v>
      </c>
      <c r="B571" s="1" t="s">
        <v>146</v>
      </c>
      <c r="C571" s="4">
        <v>63</v>
      </c>
      <c r="D571" s="8">
        <v>2.21</v>
      </c>
      <c r="E571" s="4">
        <v>5</v>
      </c>
      <c r="F571" s="8">
        <v>0.38</v>
      </c>
      <c r="G571" s="4">
        <v>58</v>
      </c>
      <c r="H571" s="8">
        <v>3.75</v>
      </c>
      <c r="I571" s="4">
        <v>0</v>
      </c>
    </row>
    <row r="572" spans="1:9" x14ac:dyDescent="0.15">
      <c r="A572" s="2">
        <v>10</v>
      </c>
      <c r="B572" s="1" t="s">
        <v>153</v>
      </c>
      <c r="C572" s="4">
        <v>63</v>
      </c>
      <c r="D572" s="8">
        <v>2.21</v>
      </c>
      <c r="E572" s="4">
        <v>31</v>
      </c>
      <c r="F572" s="8">
        <v>2.38</v>
      </c>
      <c r="G572" s="4">
        <v>32</v>
      </c>
      <c r="H572" s="8">
        <v>2.0699999999999998</v>
      </c>
      <c r="I572" s="4">
        <v>0</v>
      </c>
    </row>
    <row r="573" spans="1:9" x14ac:dyDescent="0.15">
      <c r="A573" s="2">
        <v>12</v>
      </c>
      <c r="B573" s="1" t="s">
        <v>159</v>
      </c>
      <c r="C573" s="4">
        <v>57</v>
      </c>
      <c r="D573" s="8">
        <v>2</v>
      </c>
      <c r="E573" s="4">
        <v>11</v>
      </c>
      <c r="F573" s="8">
        <v>0.84</v>
      </c>
      <c r="G573" s="4">
        <v>46</v>
      </c>
      <c r="H573" s="8">
        <v>2.97</v>
      </c>
      <c r="I573" s="4">
        <v>0</v>
      </c>
    </row>
    <row r="574" spans="1:9" x14ac:dyDescent="0.15">
      <c r="A574" s="2">
        <v>13</v>
      </c>
      <c r="B574" s="1" t="s">
        <v>152</v>
      </c>
      <c r="C574" s="4">
        <v>50</v>
      </c>
      <c r="D574" s="8">
        <v>1.75</v>
      </c>
      <c r="E574" s="4">
        <v>46</v>
      </c>
      <c r="F574" s="8">
        <v>3.52</v>
      </c>
      <c r="G574" s="4">
        <v>4</v>
      </c>
      <c r="H574" s="8">
        <v>0.26</v>
      </c>
      <c r="I574" s="4">
        <v>0</v>
      </c>
    </row>
    <row r="575" spans="1:9" x14ac:dyDescent="0.15">
      <c r="A575" s="2">
        <v>14</v>
      </c>
      <c r="B575" s="1" t="s">
        <v>138</v>
      </c>
      <c r="C575" s="4">
        <v>44</v>
      </c>
      <c r="D575" s="8">
        <v>1.54</v>
      </c>
      <c r="E575" s="4">
        <v>6</v>
      </c>
      <c r="F575" s="8">
        <v>0.46</v>
      </c>
      <c r="G575" s="4">
        <v>38</v>
      </c>
      <c r="H575" s="8">
        <v>2.46</v>
      </c>
      <c r="I575" s="4">
        <v>0</v>
      </c>
    </row>
    <row r="576" spans="1:9" x14ac:dyDescent="0.15">
      <c r="A576" s="2">
        <v>15</v>
      </c>
      <c r="B576" s="1" t="s">
        <v>161</v>
      </c>
      <c r="C576" s="4">
        <v>42</v>
      </c>
      <c r="D576" s="8">
        <v>1.47</v>
      </c>
      <c r="E576" s="4">
        <v>16</v>
      </c>
      <c r="F576" s="8">
        <v>1.23</v>
      </c>
      <c r="G576" s="4">
        <v>26</v>
      </c>
      <c r="H576" s="8">
        <v>1.68</v>
      </c>
      <c r="I576" s="4">
        <v>0</v>
      </c>
    </row>
    <row r="577" spans="1:9" x14ac:dyDescent="0.15">
      <c r="A577" s="2">
        <v>16</v>
      </c>
      <c r="B577" s="1" t="s">
        <v>143</v>
      </c>
      <c r="C577" s="4">
        <v>40</v>
      </c>
      <c r="D577" s="8">
        <v>1.4</v>
      </c>
      <c r="E577" s="4">
        <v>20</v>
      </c>
      <c r="F577" s="8">
        <v>1.53</v>
      </c>
      <c r="G577" s="4">
        <v>20</v>
      </c>
      <c r="H577" s="8">
        <v>1.29</v>
      </c>
      <c r="I577" s="4">
        <v>0</v>
      </c>
    </row>
    <row r="578" spans="1:9" x14ac:dyDescent="0.15">
      <c r="A578" s="2">
        <v>17</v>
      </c>
      <c r="B578" s="1" t="s">
        <v>139</v>
      </c>
      <c r="C578" s="4">
        <v>37</v>
      </c>
      <c r="D578" s="8">
        <v>1.3</v>
      </c>
      <c r="E578" s="4">
        <v>5</v>
      </c>
      <c r="F578" s="8">
        <v>0.38</v>
      </c>
      <c r="G578" s="4">
        <v>32</v>
      </c>
      <c r="H578" s="8">
        <v>2.0699999999999998</v>
      </c>
      <c r="I578" s="4">
        <v>0</v>
      </c>
    </row>
    <row r="579" spans="1:9" x14ac:dyDescent="0.15">
      <c r="A579" s="2">
        <v>17</v>
      </c>
      <c r="B579" s="1" t="s">
        <v>140</v>
      </c>
      <c r="C579" s="4">
        <v>37</v>
      </c>
      <c r="D579" s="8">
        <v>1.3</v>
      </c>
      <c r="E579" s="4">
        <v>6</v>
      </c>
      <c r="F579" s="8">
        <v>0.46</v>
      </c>
      <c r="G579" s="4">
        <v>31</v>
      </c>
      <c r="H579" s="8">
        <v>2</v>
      </c>
      <c r="I579" s="4">
        <v>0</v>
      </c>
    </row>
    <row r="580" spans="1:9" x14ac:dyDescent="0.15">
      <c r="A580" s="2">
        <v>17</v>
      </c>
      <c r="B580" s="1" t="s">
        <v>141</v>
      </c>
      <c r="C580" s="4">
        <v>37</v>
      </c>
      <c r="D580" s="8">
        <v>1.3</v>
      </c>
      <c r="E580" s="4">
        <v>2</v>
      </c>
      <c r="F580" s="8">
        <v>0.15</v>
      </c>
      <c r="G580" s="4">
        <v>35</v>
      </c>
      <c r="H580" s="8">
        <v>2.2599999999999998</v>
      </c>
      <c r="I580" s="4">
        <v>0</v>
      </c>
    </row>
    <row r="581" spans="1:9" x14ac:dyDescent="0.15">
      <c r="A581" s="2">
        <v>20</v>
      </c>
      <c r="B581" s="1" t="s">
        <v>174</v>
      </c>
      <c r="C581" s="4">
        <v>35</v>
      </c>
      <c r="D581" s="8">
        <v>1.23</v>
      </c>
      <c r="E581" s="4">
        <v>11</v>
      </c>
      <c r="F581" s="8">
        <v>0.84</v>
      </c>
      <c r="G581" s="4">
        <v>24</v>
      </c>
      <c r="H581" s="8">
        <v>1.55</v>
      </c>
      <c r="I581" s="4">
        <v>0</v>
      </c>
    </row>
    <row r="582" spans="1:9" x14ac:dyDescent="0.15">
      <c r="A582" s="2">
        <v>20</v>
      </c>
      <c r="B582" s="1" t="s">
        <v>175</v>
      </c>
      <c r="C582" s="4">
        <v>35</v>
      </c>
      <c r="D582" s="8">
        <v>1.23</v>
      </c>
      <c r="E582" s="4">
        <v>21</v>
      </c>
      <c r="F582" s="8">
        <v>1.61</v>
      </c>
      <c r="G582" s="4">
        <v>14</v>
      </c>
      <c r="H582" s="8">
        <v>0.9</v>
      </c>
      <c r="I582" s="4">
        <v>0</v>
      </c>
    </row>
    <row r="583" spans="1:9" x14ac:dyDescent="0.15">
      <c r="A583" s="1"/>
      <c r="C583" s="4"/>
      <c r="D583" s="8"/>
      <c r="E583" s="4"/>
      <c r="F583" s="8"/>
      <c r="G583" s="4"/>
      <c r="H583" s="8"/>
      <c r="I583" s="4"/>
    </row>
    <row r="584" spans="1:9" x14ac:dyDescent="0.15">
      <c r="A584" s="1" t="s">
        <v>26</v>
      </c>
      <c r="C584" s="4"/>
      <c r="D584" s="8"/>
      <c r="E584" s="4"/>
      <c r="F584" s="8"/>
      <c r="G584" s="4"/>
      <c r="H584" s="8"/>
      <c r="I584" s="4"/>
    </row>
    <row r="585" spans="1:9" x14ac:dyDescent="0.15">
      <c r="A585" s="2">
        <v>1</v>
      </c>
      <c r="B585" s="1" t="s">
        <v>148</v>
      </c>
      <c r="C585" s="4">
        <v>147</v>
      </c>
      <c r="D585" s="8">
        <v>6.35</v>
      </c>
      <c r="E585" s="4">
        <v>80</v>
      </c>
      <c r="F585" s="8">
        <v>9.8000000000000007</v>
      </c>
      <c r="G585" s="4">
        <v>67</v>
      </c>
      <c r="H585" s="8">
        <v>4.47</v>
      </c>
      <c r="I585" s="4">
        <v>0</v>
      </c>
    </row>
    <row r="586" spans="1:9" x14ac:dyDescent="0.15">
      <c r="A586" s="2">
        <v>2</v>
      </c>
      <c r="B586" s="1" t="s">
        <v>149</v>
      </c>
      <c r="C586" s="4">
        <v>93</v>
      </c>
      <c r="D586" s="8">
        <v>4.0199999999999996</v>
      </c>
      <c r="E586" s="4">
        <v>3</v>
      </c>
      <c r="F586" s="8">
        <v>0.37</v>
      </c>
      <c r="G586" s="4">
        <v>90</v>
      </c>
      <c r="H586" s="8">
        <v>6</v>
      </c>
      <c r="I586" s="4">
        <v>0</v>
      </c>
    </row>
    <row r="587" spans="1:9" x14ac:dyDescent="0.15">
      <c r="A587" s="2">
        <v>3</v>
      </c>
      <c r="B587" s="1" t="s">
        <v>155</v>
      </c>
      <c r="C587" s="4">
        <v>86</v>
      </c>
      <c r="D587" s="8">
        <v>3.71</v>
      </c>
      <c r="E587" s="4">
        <v>69</v>
      </c>
      <c r="F587" s="8">
        <v>8.4600000000000009</v>
      </c>
      <c r="G587" s="4">
        <v>17</v>
      </c>
      <c r="H587" s="8">
        <v>1.1299999999999999</v>
      </c>
      <c r="I587" s="4">
        <v>0</v>
      </c>
    </row>
    <row r="588" spans="1:9" x14ac:dyDescent="0.15">
      <c r="A588" s="2">
        <v>4</v>
      </c>
      <c r="B588" s="1" t="s">
        <v>154</v>
      </c>
      <c r="C588" s="4">
        <v>64</v>
      </c>
      <c r="D588" s="8">
        <v>2.76</v>
      </c>
      <c r="E588" s="4">
        <v>55</v>
      </c>
      <c r="F588" s="8">
        <v>6.74</v>
      </c>
      <c r="G588" s="4">
        <v>9</v>
      </c>
      <c r="H588" s="8">
        <v>0.6</v>
      </c>
      <c r="I588" s="4">
        <v>0</v>
      </c>
    </row>
    <row r="589" spans="1:9" x14ac:dyDescent="0.15">
      <c r="A589" s="2">
        <v>5</v>
      </c>
      <c r="B589" s="1" t="s">
        <v>156</v>
      </c>
      <c r="C589" s="4">
        <v>61</v>
      </c>
      <c r="D589" s="8">
        <v>2.63</v>
      </c>
      <c r="E589" s="4">
        <v>38</v>
      </c>
      <c r="F589" s="8">
        <v>4.66</v>
      </c>
      <c r="G589" s="4">
        <v>23</v>
      </c>
      <c r="H589" s="8">
        <v>1.53</v>
      </c>
      <c r="I589" s="4">
        <v>0</v>
      </c>
    </row>
    <row r="590" spans="1:9" x14ac:dyDescent="0.15">
      <c r="A590" s="2">
        <v>6</v>
      </c>
      <c r="B590" s="1" t="s">
        <v>153</v>
      </c>
      <c r="C590" s="4">
        <v>54</v>
      </c>
      <c r="D590" s="8">
        <v>2.33</v>
      </c>
      <c r="E590" s="4">
        <v>19</v>
      </c>
      <c r="F590" s="8">
        <v>2.33</v>
      </c>
      <c r="G590" s="4">
        <v>35</v>
      </c>
      <c r="H590" s="8">
        <v>2.33</v>
      </c>
      <c r="I590" s="4">
        <v>0</v>
      </c>
    </row>
    <row r="591" spans="1:9" x14ac:dyDescent="0.15">
      <c r="A591" s="2">
        <v>7</v>
      </c>
      <c r="B591" s="1" t="s">
        <v>151</v>
      </c>
      <c r="C591" s="4">
        <v>52</v>
      </c>
      <c r="D591" s="8">
        <v>2.25</v>
      </c>
      <c r="E591" s="4">
        <v>48</v>
      </c>
      <c r="F591" s="8">
        <v>5.88</v>
      </c>
      <c r="G591" s="4">
        <v>4</v>
      </c>
      <c r="H591" s="8">
        <v>0.27</v>
      </c>
      <c r="I591" s="4">
        <v>0</v>
      </c>
    </row>
    <row r="592" spans="1:9" x14ac:dyDescent="0.15">
      <c r="A592" s="2">
        <v>8</v>
      </c>
      <c r="B592" s="1" t="s">
        <v>140</v>
      </c>
      <c r="C592" s="4">
        <v>50</v>
      </c>
      <c r="D592" s="8">
        <v>2.16</v>
      </c>
      <c r="E592" s="4">
        <v>5</v>
      </c>
      <c r="F592" s="8">
        <v>0.61</v>
      </c>
      <c r="G592" s="4">
        <v>45</v>
      </c>
      <c r="H592" s="8">
        <v>3</v>
      </c>
      <c r="I592" s="4">
        <v>0</v>
      </c>
    </row>
    <row r="593" spans="1:9" x14ac:dyDescent="0.15">
      <c r="A593" s="2">
        <v>8</v>
      </c>
      <c r="B593" s="1" t="s">
        <v>141</v>
      </c>
      <c r="C593" s="4">
        <v>50</v>
      </c>
      <c r="D593" s="8">
        <v>2.16</v>
      </c>
      <c r="E593" s="4">
        <v>3</v>
      </c>
      <c r="F593" s="8">
        <v>0.37</v>
      </c>
      <c r="G593" s="4">
        <v>47</v>
      </c>
      <c r="H593" s="8">
        <v>3.13</v>
      </c>
      <c r="I593" s="4">
        <v>0</v>
      </c>
    </row>
    <row r="594" spans="1:9" x14ac:dyDescent="0.15">
      <c r="A594" s="2">
        <v>10</v>
      </c>
      <c r="B594" s="1" t="s">
        <v>138</v>
      </c>
      <c r="C594" s="4">
        <v>46</v>
      </c>
      <c r="D594" s="8">
        <v>1.99</v>
      </c>
      <c r="E594" s="4">
        <v>6</v>
      </c>
      <c r="F594" s="8">
        <v>0.74</v>
      </c>
      <c r="G594" s="4">
        <v>40</v>
      </c>
      <c r="H594" s="8">
        <v>2.67</v>
      </c>
      <c r="I594" s="4">
        <v>0</v>
      </c>
    </row>
    <row r="595" spans="1:9" x14ac:dyDescent="0.15">
      <c r="A595" s="2">
        <v>11</v>
      </c>
      <c r="B595" s="1" t="s">
        <v>157</v>
      </c>
      <c r="C595" s="4">
        <v>42</v>
      </c>
      <c r="D595" s="8">
        <v>1.81</v>
      </c>
      <c r="E595" s="4">
        <v>29</v>
      </c>
      <c r="F595" s="8">
        <v>3.55</v>
      </c>
      <c r="G595" s="4">
        <v>13</v>
      </c>
      <c r="H595" s="8">
        <v>0.87</v>
      </c>
      <c r="I595" s="4">
        <v>0</v>
      </c>
    </row>
    <row r="596" spans="1:9" x14ac:dyDescent="0.15">
      <c r="A596" s="2">
        <v>12</v>
      </c>
      <c r="B596" s="1" t="s">
        <v>158</v>
      </c>
      <c r="C596" s="4">
        <v>41</v>
      </c>
      <c r="D596" s="8">
        <v>1.77</v>
      </c>
      <c r="E596" s="4">
        <v>5</v>
      </c>
      <c r="F596" s="8">
        <v>0.61</v>
      </c>
      <c r="G596" s="4">
        <v>36</v>
      </c>
      <c r="H596" s="8">
        <v>2.4</v>
      </c>
      <c r="I596" s="4">
        <v>0</v>
      </c>
    </row>
    <row r="597" spans="1:9" x14ac:dyDescent="0.15">
      <c r="A597" s="2">
        <v>12</v>
      </c>
      <c r="B597" s="1" t="s">
        <v>146</v>
      </c>
      <c r="C597" s="4">
        <v>41</v>
      </c>
      <c r="D597" s="8">
        <v>1.77</v>
      </c>
      <c r="E597" s="4">
        <v>4</v>
      </c>
      <c r="F597" s="8">
        <v>0.49</v>
      </c>
      <c r="G597" s="4">
        <v>37</v>
      </c>
      <c r="H597" s="8">
        <v>2.4700000000000002</v>
      </c>
      <c r="I597" s="4">
        <v>0</v>
      </c>
    </row>
    <row r="598" spans="1:9" x14ac:dyDescent="0.15">
      <c r="A598" s="2">
        <v>14</v>
      </c>
      <c r="B598" s="1" t="s">
        <v>150</v>
      </c>
      <c r="C598" s="4">
        <v>39</v>
      </c>
      <c r="D598" s="8">
        <v>1.68</v>
      </c>
      <c r="E598" s="4">
        <v>32</v>
      </c>
      <c r="F598" s="8">
        <v>3.92</v>
      </c>
      <c r="G598" s="4">
        <v>7</v>
      </c>
      <c r="H598" s="8">
        <v>0.47</v>
      </c>
      <c r="I598" s="4">
        <v>0</v>
      </c>
    </row>
    <row r="599" spans="1:9" x14ac:dyDescent="0.15">
      <c r="A599" s="2">
        <v>15</v>
      </c>
      <c r="B599" s="1" t="s">
        <v>145</v>
      </c>
      <c r="C599" s="4">
        <v>37</v>
      </c>
      <c r="D599" s="8">
        <v>1.6</v>
      </c>
      <c r="E599" s="4">
        <v>17</v>
      </c>
      <c r="F599" s="8">
        <v>2.08</v>
      </c>
      <c r="G599" s="4">
        <v>20</v>
      </c>
      <c r="H599" s="8">
        <v>1.33</v>
      </c>
      <c r="I599" s="4">
        <v>0</v>
      </c>
    </row>
    <row r="600" spans="1:9" x14ac:dyDescent="0.15">
      <c r="A600" s="2">
        <v>15</v>
      </c>
      <c r="B600" s="1" t="s">
        <v>175</v>
      </c>
      <c r="C600" s="4">
        <v>37</v>
      </c>
      <c r="D600" s="8">
        <v>1.6</v>
      </c>
      <c r="E600" s="4">
        <v>22</v>
      </c>
      <c r="F600" s="8">
        <v>2.7</v>
      </c>
      <c r="G600" s="4">
        <v>15</v>
      </c>
      <c r="H600" s="8">
        <v>1</v>
      </c>
      <c r="I600" s="4">
        <v>0</v>
      </c>
    </row>
    <row r="601" spans="1:9" x14ac:dyDescent="0.15">
      <c r="A601" s="2">
        <v>17</v>
      </c>
      <c r="B601" s="1" t="s">
        <v>143</v>
      </c>
      <c r="C601" s="4">
        <v>31</v>
      </c>
      <c r="D601" s="8">
        <v>1.34</v>
      </c>
      <c r="E601" s="4">
        <v>16</v>
      </c>
      <c r="F601" s="8">
        <v>1.96</v>
      </c>
      <c r="G601" s="4">
        <v>15</v>
      </c>
      <c r="H601" s="8">
        <v>1</v>
      </c>
      <c r="I601" s="4">
        <v>0</v>
      </c>
    </row>
    <row r="602" spans="1:9" x14ac:dyDescent="0.15">
      <c r="A602" s="2">
        <v>17</v>
      </c>
      <c r="B602" s="1" t="s">
        <v>144</v>
      </c>
      <c r="C602" s="4">
        <v>31</v>
      </c>
      <c r="D602" s="8">
        <v>1.34</v>
      </c>
      <c r="E602" s="4">
        <v>6</v>
      </c>
      <c r="F602" s="8">
        <v>0.74</v>
      </c>
      <c r="G602" s="4">
        <v>25</v>
      </c>
      <c r="H602" s="8">
        <v>1.67</v>
      </c>
      <c r="I602" s="4">
        <v>0</v>
      </c>
    </row>
    <row r="603" spans="1:9" x14ac:dyDescent="0.15">
      <c r="A603" s="2">
        <v>19</v>
      </c>
      <c r="B603" s="1" t="s">
        <v>178</v>
      </c>
      <c r="C603" s="4">
        <v>30</v>
      </c>
      <c r="D603" s="8">
        <v>1.3</v>
      </c>
      <c r="E603" s="4">
        <v>6</v>
      </c>
      <c r="F603" s="8">
        <v>0.74</v>
      </c>
      <c r="G603" s="4">
        <v>24</v>
      </c>
      <c r="H603" s="8">
        <v>1.6</v>
      </c>
      <c r="I603" s="4">
        <v>0</v>
      </c>
    </row>
    <row r="604" spans="1:9" x14ac:dyDescent="0.15">
      <c r="A604" s="2">
        <v>19</v>
      </c>
      <c r="B604" s="1" t="s">
        <v>163</v>
      </c>
      <c r="C604" s="4">
        <v>30</v>
      </c>
      <c r="D604" s="8">
        <v>1.3</v>
      </c>
      <c r="E604" s="4">
        <v>26</v>
      </c>
      <c r="F604" s="8">
        <v>3.19</v>
      </c>
      <c r="G604" s="4">
        <v>4</v>
      </c>
      <c r="H604" s="8">
        <v>0.27</v>
      </c>
      <c r="I604" s="4">
        <v>0</v>
      </c>
    </row>
    <row r="605" spans="1:9" x14ac:dyDescent="0.15">
      <c r="A605" s="1"/>
      <c r="C605" s="4"/>
      <c r="D605" s="8"/>
      <c r="E605" s="4"/>
      <c r="F605" s="8"/>
      <c r="G605" s="4"/>
      <c r="H605" s="8"/>
      <c r="I605" s="4"/>
    </row>
    <row r="606" spans="1:9" x14ac:dyDescent="0.15">
      <c r="A606" s="1" t="s">
        <v>27</v>
      </c>
      <c r="C606" s="4"/>
      <c r="D606" s="8"/>
      <c r="E606" s="4"/>
      <c r="F606" s="8"/>
      <c r="G606" s="4"/>
      <c r="H606" s="8"/>
      <c r="I606" s="4"/>
    </row>
    <row r="607" spans="1:9" x14ac:dyDescent="0.15">
      <c r="A607" s="2">
        <v>1</v>
      </c>
      <c r="B607" s="1" t="s">
        <v>148</v>
      </c>
      <c r="C607" s="4">
        <v>123</v>
      </c>
      <c r="D607" s="8">
        <v>6.6</v>
      </c>
      <c r="E607" s="4">
        <v>77</v>
      </c>
      <c r="F607" s="8">
        <v>11.41</v>
      </c>
      <c r="G607" s="4">
        <v>46</v>
      </c>
      <c r="H607" s="8">
        <v>3.88</v>
      </c>
      <c r="I607" s="4">
        <v>0</v>
      </c>
    </row>
    <row r="608" spans="1:9" x14ac:dyDescent="0.15">
      <c r="A608" s="2">
        <v>2</v>
      </c>
      <c r="B608" s="1" t="s">
        <v>155</v>
      </c>
      <c r="C608" s="4">
        <v>69</v>
      </c>
      <c r="D608" s="8">
        <v>3.7</v>
      </c>
      <c r="E608" s="4">
        <v>48</v>
      </c>
      <c r="F608" s="8">
        <v>7.11</v>
      </c>
      <c r="G608" s="4">
        <v>21</v>
      </c>
      <c r="H608" s="8">
        <v>1.77</v>
      </c>
      <c r="I608" s="4">
        <v>0</v>
      </c>
    </row>
    <row r="609" spans="1:9" x14ac:dyDescent="0.15">
      <c r="A609" s="2">
        <v>3</v>
      </c>
      <c r="B609" s="1" t="s">
        <v>156</v>
      </c>
      <c r="C609" s="4">
        <v>62</v>
      </c>
      <c r="D609" s="8">
        <v>3.32</v>
      </c>
      <c r="E609" s="4">
        <v>41</v>
      </c>
      <c r="F609" s="8">
        <v>6.07</v>
      </c>
      <c r="G609" s="4">
        <v>20</v>
      </c>
      <c r="H609" s="8">
        <v>1.69</v>
      </c>
      <c r="I609" s="4">
        <v>1</v>
      </c>
    </row>
    <row r="610" spans="1:9" x14ac:dyDescent="0.15">
      <c r="A610" s="2">
        <v>4</v>
      </c>
      <c r="B610" s="1" t="s">
        <v>149</v>
      </c>
      <c r="C610" s="4">
        <v>55</v>
      </c>
      <c r="D610" s="8">
        <v>2.95</v>
      </c>
      <c r="E610" s="4">
        <v>2</v>
      </c>
      <c r="F610" s="8">
        <v>0.3</v>
      </c>
      <c r="G610" s="4">
        <v>53</v>
      </c>
      <c r="H610" s="8">
        <v>4.47</v>
      </c>
      <c r="I610" s="4">
        <v>0</v>
      </c>
    </row>
    <row r="611" spans="1:9" x14ac:dyDescent="0.15">
      <c r="A611" s="2">
        <v>5</v>
      </c>
      <c r="B611" s="1" t="s">
        <v>157</v>
      </c>
      <c r="C611" s="4">
        <v>48</v>
      </c>
      <c r="D611" s="8">
        <v>2.57</v>
      </c>
      <c r="E611" s="4">
        <v>39</v>
      </c>
      <c r="F611" s="8">
        <v>5.78</v>
      </c>
      <c r="G611" s="4">
        <v>9</v>
      </c>
      <c r="H611" s="8">
        <v>0.76</v>
      </c>
      <c r="I611" s="4">
        <v>0</v>
      </c>
    </row>
    <row r="612" spans="1:9" x14ac:dyDescent="0.15">
      <c r="A612" s="2">
        <v>6</v>
      </c>
      <c r="B612" s="1" t="s">
        <v>150</v>
      </c>
      <c r="C612" s="4">
        <v>42</v>
      </c>
      <c r="D612" s="8">
        <v>2.25</v>
      </c>
      <c r="E612" s="4">
        <v>28</v>
      </c>
      <c r="F612" s="8">
        <v>4.1500000000000004</v>
      </c>
      <c r="G612" s="4">
        <v>14</v>
      </c>
      <c r="H612" s="8">
        <v>1.18</v>
      </c>
      <c r="I612" s="4">
        <v>0</v>
      </c>
    </row>
    <row r="613" spans="1:9" x14ac:dyDescent="0.15">
      <c r="A613" s="2">
        <v>7</v>
      </c>
      <c r="B613" s="1" t="s">
        <v>163</v>
      </c>
      <c r="C613" s="4">
        <v>41</v>
      </c>
      <c r="D613" s="8">
        <v>2.2000000000000002</v>
      </c>
      <c r="E613" s="4">
        <v>38</v>
      </c>
      <c r="F613" s="8">
        <v>5.63</v>
      </c>
      <c r="G613" s="4">
        <v>3</v>
      </c>
      <c r="H613" s="8">
        <v>0.25</v>
      </c>
      <c r="I613" s="4">
        <v>0</v>
      </c>
    </row>
    <row r="614" spans="1:9" x14ac:dyDescent="0.15">
      <c r="A614" s="2">
        <v>8</v>
      </c>
      <c r="B614" s="1" t="s">
        <v>182</v>
      </c>
      <c r="C614" s="4">
        <v>39</v>
      </c>
      <c r="D614" s="8">
        <v>2.09</v>
      </c>
      <c r="E614" s="4">
        <v>2</v>
      </c>
      <c r="F614" s="8">
        <v>0.3</v>
      </c>
      <c r="G614" s="4">
        <v>36</v>
      </c>
      <c r="H614" s="8">
        <v>3.04</v>
      </c>
      <c r="I614" s="4">
        <v>1</v>
      </c>
    </row>
    <row r="615" spans="1:9" x14ac:dyDescent="0.15">
      <c r="A615" s="2">
        <v>9</v>
      </c>
      <c r="B615" s="1" t="s">
        <v>151</v>
      </c>
      <c r="C615" s="4">
        <v>34</v>
      </c>
      <c r="D615" s="8">
        <v>1.82</v>
      </c>
      <c r="E615" s="4">
        <v>26</v>
      </c>
      <c r="F615" s="8">
        <v>3.85</v>
      </c>
      <c r="G615" s="4">
        <v>8</v>
      </c>
      <c r="H615" s="8">
        <v>0.67</v>
      </c>
      <c r="I615" s="4">
        <v>0</v>
      </c>
    </row>
    <row r="616" spans="1:9" x14ac:dyDescent="0.15">
      <c r="A616" s="2">
        <v>9</v>
      </c>
      <c r="B616" s="1" t="s">
        <v>153</v>
      </c>
      <c r="C616" s="4">
        <v>34</v>
      </c>
      <c r="D616" s="8">
        <v>1.82</v>
      </c>
      <c r="E616" s="4">
        <v>16</v>
      </c>
      <c r="F616" s="8">
        <v>2.37</v>
      </c>
      <c r="G616" s="4">
        <v>18</v>
      </c>
      <c r="H616" s="8">
        <v>1.52</v>
      </c>
      <c r="I616" s="4">
        <v>0</v>
      </c>
    </row>
    <row r="617" spans="1:9" x14ac:dyDescent="0.15">
      <c r="A617" s="2">
        <v>11</v>
      </c>
      <c r="B617" s="1" t="s">
        <v>175</v>
      </c>
      <c r="C617" s="4">
        <v>33</v>
      </c>
      <c r="D617" s="8">
        <v>1.77</v>
      </c>
      <c r="E617" s="4">
        <v>20</v>
      </c>
      <c r="F617" s="8">
        <v>2.96</v>
      </c>
      <c r="G617" s="4">
        <v>13</v>
      </c>
      <c r="H617" s="8">
        <v>1.1000000000000001</v>
      </c>
      <c r="I617" s="4">
        <v>0</v>
      </c>
    </row>
    <row r="618" spans="1:9" x14ac:dyDescent="0.15">
      <c r="A618" s="2">
        <v>12</v>
      </c>
      <c r="B618" s="1" t="s">
        <v>159</v>
      </c>
      <c r="C618" s="4">
        <v>32</v>
      </c>
      <c r="D618" s="8">
        <v>1.72</v>
      </c>
      <c r="E618" s="4">
        <v>6</v>
      </c>
      <c r="F618" s="8">
        <v>0.89</v>
      </c>
      <c r="G618" s="4">
        <v>26</v>
      </c>
      <c r="H618" s="8">
        <v>2.19</v>
      </c>
      <c r="I618" s="4">
        <v>0</v>
      </c>
    </row>
    <row r="619" spans="1:9" x14ac:dyDescent="0.15">
      <c r="A619" s="2">
        <v>13</v>
      </c>
      <c r="B619" s="1" t="s">
        <v>139</v>
      </c>
      <c r="C619" s="4">
        <v>31</v>
      </c>
      <c r="D619" s="8">
        <v>1.66</v>
      </c>
      <c r="E619" s="4">
        <v>3</v>
      </c>
      <c r="F619" s="8">
        <v>0.44</v>
      </c>
      <c r="G619" s="4">
        <v>28</v>
      </c>
      <c r="H619" s="8">
        <v>2.36</v>
      </c>
      <c r="I619" s="4">
        <v>0</v>
      </c>
    </row>
    <row r="620" spans="1:9" x14ac:dyDescent="0.15">
      <c r="A620" s="2">
        <v>13</v>
      </c>
      <c r="B620" s="1" t="s">
        <v>161</v>
      </c>
      <c r="C620" s="4">
        <v>31</v>
      </c>
      <c r="D620" s="8">
        <v>1.66</v>
      </c>
      <c r="E620" s="4">
        <v>5</v>
      </c>
      <c r="F620" s="8">
        <v>0.74</v>
      </c>
      <c r="G620" s="4">
        <v>26</v>
      </c>
      <c r="H620" s="8">
        <v>2.19</v>
      </c>
      <c r="I620" s="4">
        <v>0</v>
      </c>
    </row>
    <row r="621" spans="1:9" x14ac:dyDescent="0.15">
      <c r="A621" s="2">
        <v>15</v>
      </c>
      <c r="B621" s="1" t="s">
        <v>158</v>
      </c>
      <c r="C621" s="4">
        <v>30</v>
      </c>
      <c r="D621" s="8">
        <v>1.61</v>
      </c>
      <c r="E621" s="4">
        <v>8</v>
      </c>
      <c r="F621" s="8">
        <v>1.19</v>
      </c>
      <c r="G621" s="4">
        <v>22</v>
      </c>
      <c r="H621" s="8">
        <v>1.85</v>
      </c>
      <c r="I621" s="4">
        <v>0</v>
      </c>
    </row>
    <row r="622" spans="1:9" x14ac:dyDescent="0.15">
      <c r="A622" s="2">
        <v>15</v>
      </c>
      <c r="B622" s="1" t="s">
        <v>169</v>
      </c>
      <c r="C622" s="4">
        <v>30</v>
      </c>
      <c r="D622" s="8">
        <v>1.61</v>
      </c>
      <c r="E622" s="4">
        <v>0</v>
      </c>
      <c r="F622" s="8">
        <v>0</v>
      </c>
      <c r="G622" s="4">
        <v>30</v>
      </c>
      <c r="H622" s="8">
        <v>2.5299999999999998</v>
      </c>
      <c r="I622" s="4">
        <v>0</v>
      </c>
    </row>
    <row r="623" spans="1:9" x14ac:dyDescent="0.15">
      <c r="A623" s="2">
        <v>17</v>
      </c>
      <c r="B623" s="1" t="s">
        <v>154</v>
      </c>
      <c r="C623" s="4">
        <v>29</v>
      </c>
      <c r="D623" s="8">
        <v>1.55</v>
      </c>
      <c r="E623" s="4">
        <v>24</v>
      </c>
      <c r="F623" s="8">
        <v>3.56</v>
      </c>
      <c r="G623" s="4">
        <v>5</v>
      </c>
      <c r="H623" s="8">
        <v>0.42</v>
      </c>
      <c r="I623" s="4">
        <v>0</v>
      </c>
    </row>
    <row r="624" spans="1:9" x14ac:dyDescent="0.15">
      <c r="A624" s="2">
        <v>18</v>
      </c>
      <c r="B624" s="1" t="s">
        <v>145</v>
      </c>
      <c r="C624" s="4">
        <v>28</v>
      </c>
      <c r="D624" s="8">
        <v>1.5</v>
      </c>
      <c r="E624" s="4">
        <v>10</v>
      </c>
      <c r="F624" s="8">
        <v>1.48</v>
      </c>
      <c r="G624" s="4">
        <v>18</v>
      </c>
      <c r="H624" s="8">
        <v>1.52</v>
      </c>
      <c r="I624" s="4">
        <v>0</v>
      </c>
    </row>
    <row r="625" spans="1:9" x14ac:dyDescent="0.15">
      <c r="A625" s="2">
        <v>18</v>
      </c>
      <c r="B625" s="1" t="s">
        <v>146</v>
      </c>
      <c r="C625" s="4">
        <v>28</v>
      </c>
      <c r="D625" s="8">
        <v>1.5</v>
      </c>
      <c r="E625" s="4">
        <v>1</v>
      </c>
      <c r="F625" s="8">
        <v>0.15</v>
      </c>
      <c r="G625" s="4">
        <v>27</v>
      </c>
      <c r="H625" s="8">
        <v>2.2799999999999998</v>
      </c>
      <c r="I625" s="4">
        <v>0</v>
      </c>
    </row>
    <row r="626" spans="1:9" x14ac:dyDescent="0.15">
      <c r="A626" s="2">
        <v>20</v>
      </c>
      <c r="B626" s="1" t="s">
        <v>143</v>
      </c>
      <c r="C626" s="4">
        <v>27</v>
      </c>
      <c r="D626" s="8">
        <v>1.45</v>
      </c>
      <c r="E626" s="4">
        <v>13</v>
      </c>
      <c r="F626" s="8">
        <v>1.93</v>
      </c>
      <c r="G626" s="4">
        <v>14</v>
      </c>
      <c r="H626" s="8">
        <v>1.18</v>
      </c>
      <c r="I626" s="4">
        <v>0</v>
      </c>
    </row>
    <row r="627" spans="1:9" x14ac:dyDescent="0.15">
      <c r="A627" s="1"/>
      <c r="C627" s="4"/>
      <c r="D627" s="8"/>
      <c r="E627" s="4"/>
      <c r="F627" s="8"/>
      <c r="G627" s="4"/>
      <c r="H627" s="8"/>
      <c r="I627" s="4"/>
    </row>
    <row r="628" spans="1:9" x14ac:dyDescent="0.15">
      <c r="A628" s="1" t="s">
        <v>28</v>
      </c>
      <c r="C628" s="4"/>
      <c r="D628" s="8"/>
      <c r="E628" s="4"/>
      <c r="F628" s="8"/>
      <c r="G628" s="4"/>
      <c r="H628" s="8"/>
      <c r="I628" s="4"/>
    </row>
    <row r="629" spans="1:9" x14ac:dyDescent="0.15">
      <c r="A629" s="2">
        <v>1</v>
      </c>
      <c r="B629" s="1" t="s">
        <v>148</v>
      </c>
      <c r="C629" s="4">
        <v>727</v>
      </c>
      <c r="D629" s="8">
        <v>5.49</v>
      </c>
      <c r="E629" s="4">
        <v>600</v>
      </c>
      <c r="F629" s="8">
        <v>9.4499999999999993</v>
      </c>
      <c r="G629" s="4">
        <v>127</v>
      </c>
      <c r="H629" s="8">
        <v>1.84</v>
      </c>
      <c r="I629" s="4">
        <v>0</v>
      </c>
    </row>
    <row r="630" spans="1:9" x14ac:dyDescent="0.15">
      <c r="A630" s="2">
        <v>2</v>
      </c>
      <c r="B630" s="1" t="s">
        <v>155</v>
      </c>
      <c r="C630" s="4">
        <v>618</v>
      </c>
      <c r="D630" s="8">
        <v>4.66</v>
      </c>
      <c r="E630" s="4">
        <v>536</v>
      </c>
      <c r="F630" s="8">
        <v>8.44</v>
      </c>
      <c r="G630" s="4">
        <v>82</v>
      </c>
      <c r="H630" s="8">
        <v>1.19</v>
      </c>
      <c r="I630" s="4">
        <v>0</v>
      </c>
    </row>
    <row r="631" spans="1:9" x14ac:dyDescent="0.15">
      <c r="A631" s="2">
        <v>3</v>
      </c>
      <c r="B631" s="1" t="s">
        <v>156</v>
      </c>
      <c r="C631" s="4">
        <v>453</v>
      </c>
      <c r="D631" s="8">
        <v>3.42</v>
      </c>
      <c r="E631" s="4">
        <v>373</v>
      </c>
      <c r="F631" s="8">
        <v>5.87</v>
      </c>
      <c r="G631" s="4">
        <v>78</v>
      </c>
      <c r="H631" s="8">
        <v>1.1299999999999999</v>
      </c>
      <c r="I631" s="4">
        <v>2</v>
      </c>
    </row>
    <row r="632" spans="1:9" x14ac:dyDescent="0.15">
      <c r="A632" s="2">
        <v>4</v>
      </c>
      <c r="B632" s="1" t="s">
        <v>154</v>
      </c>
      <c r="C632" s="4">
        <v>411</v>
      </c>
      <c r="D632" s="8">
        <v>3.1</v>
      </c>
      <c r="E632" s="4">
        <v>377</v>
      </c>
      <c r="F632" s="8">
        <v>5.94</v>
      </c>
      <c r="G632" s="4">
        <v>34</v>
      </c>
      <c r="H632" s="8">
        <v>0.49</v>
      </c>
      <c r="I632" s="4">
        <v>0</v>
      </c>
    </row>
    <row r="633" spans="1:9" x14ac:dyDescent="0.15">
      <c r="A633" s="2">
        <v>5</v>
      </c>
      <c r="B633" s="1" t="s">
        <v>151</v>
      </c>
      <c r="C633" s="4">
        <v>395</v>
      </c>
      <c r="D633" s="8">
        <v>2.98</v>
      </c>
      <c r="E633" s="4">
        <v>370</v>
      </c>
      <c r="F633" s="8">
        <v>5.83</v>
      </c>
      <c r="G633" s="4">
        <v>25</v>
      </c>
      <c r="H633" s="8">
        <v>0.36</v>
      </c>
      <c r="I633" s="4">
        <v>0</v>
      </c>
    </row>
    <row r="634" spans="1:9" x14ac:dyDescent="0.15">
      <c r="A634" s="2">
        <v>6</v>
      </c>
      <c r="B634" s="1" t="s">
        <v>157</v>
      </c>
      <c r="C634" s="4">
        <v>369</v>
      </c>
      <c r="D634" s="8">
        <v>2.78</v>
      </c>
      <c r="E634" s="4">
        <v>303</v>
      </c>
      <c r="F634" s="8">
        <v>4.7699999999999996</v>
      </c>
      <c r="G634" s="4">
        <v>66</v>
      </c>
      <c r="H634" s="8">
        <v>0.96</v>
      </c>
      <c r="I634" s="4">
        <v>0</v>
      </c>
    </row>
    <row r="635" spans="1:9" x14ac:dyDescent="0.15">
      <c r="A635" s="2">
        <v>7</v>
      </c>
      <c r="B635" s="1" t="s">
        <v>150</v>
      </c>
      <c r="C635" s="4">
        <v>330</v>
      </c>
      <c r="D635" s="8">
        <v>2.4900000000000002</v>
      </c>
      <c r="E635" s="4">
        <v>256</v>
      </c>
      <c r="F635" s="8">
        <v>4.03</v>
      </c>
      <c r="G635" s="4">
        <v>74</v>
      </c>
      <c r="H635" s="8">
        <v>1.07</v>
      </c>
      <c r="I635" s="4">
        <v>0</v>
      </c>
    </row>
    <row r="636" spans="1:9" x14ac:dyDescent="0.15">
      <c r="A636" s="2">
        <v>8</v>
      </c>
      <c r="B636" s="1" t="s">
        <v>153</v>
      </c>
      <c r="C636" s="4">
        <v>244</v>
      </c>
      <c r="D636" s="8">
        <v>1.84</v>
      </c>
      <c r="E636" s="4">
        <v>133</v>
      </c>
      <c r="F636" s="8">
        <v>2.09</v>
      </c>
      <c r="G636" s="4">
        <v>111</v>
      </c>
      <c r="H636" s="8">
        <v>1.61</v>
      </c>
      <c r="I636" s="4">
        <v>0</v>
      </c>
    </row>
    <row r="637" spans="1:9" x14ac:dyDescent="0.15">
      <c r="A637" s="2">
        <v>9</v>
      </c>
      <c r="B637" s="1" t="s">
        <v>140</v>
      </c>
      <c r="C637" s="4">
        <v>241</v>
      </c>
      <c r="D637" s="8">
        <v>1.82</v>
      </c>
      <c r="E637" s="4">
        <v>45</v>
      </c>
      <c r="F637" s="8">
        <v>0.71</v>
      </c>
      <c r="G637" s="4">
        <v>196</v>
      </c>
      <c r="H637" s="8">
        <v>2.84</v>
      </c>
      <c r="I637" s="4">
        <v>0</v>
      </c>
    </row>
    <row r="638" spans="1:9" x14ac:dyDescent="0.15">
      <c r="A638" s="2">
        <v>10</v>
      </c>
      <c r="B638" s="1" t="s">
        <v>152</v>
      </c>
      <c r="C638" s="4">
        <v>240</v>
      </c>
      <c r="D638" s="8">
        <v>1.81</v>
      </c>
      <c r="E638" s="4">
        <v>223</v>
      </c>
      <c r="F638" s="8">
        <v>3.51</v>
      </c>
      <c r="G638" s="4">
        <v>17</v>
      </c>
      <c r="H638" s="8">
        <v>0.25</v>
      </c>
      <c r="I638" s="4">
        <v>0</v>
      </c>
    </row>
    <row r="639" spans="1:9" x14ac:dyDescent="0.15">
      <c r="A639" s="2">
        <v>11</v>
      </c>
      <c r="B639" s="1" t="s">
        <v>145</v>
      </c>
      <c r="C639" s="4">
        <v>228</v>
      </c>
      <c r="D639" s="8">
        <v>1.72</v>
      </c>
      <c r="E639" s="4">
        <v>135</v>
      </c>
      <c r="F639" s="8">
        <v>2.13</v>
      </c>
      <c r="G639" s="4">
        <v>93</v>
      </c>
      <c r="H639" s="8">
        <v>1.35</v>
      </c>
      <c r="I639" s="4">
        <v>0</v>
      </c>
    </row>
    <row r="640" spans="1:9" x14ac:dyDescent="0.15">
      <c r="A640" s="2">
        <v>12</v>
      </c>
      <c r="B640" s="1" t="s">
        <v>138</v>
      </c>
      <c r="C640" s="4">
        <v>221</v>
      </c>
      <c r="D640" s="8">
        <v>1.67</v>
      </c>
      <c r="E640" s="4">
        <v>37</v>
      </c>
      <c r="F640" s="8">
        <v>0.57999999999999996</v>
      </c>
      <c r="G640" s="4">
        <v>184</v>
      </c>
      <c r="H640" s="8">
        <v>2.67</v>
      </c>
      <c r="I640" s="4">
        <v>0</v>
      </c>
    </row>
    <row r="641" spans="1:9" x14ac:dyDescent="0.15">
      <c r="A641" s="2">
        <v>13</v>
      </c>
      <c r="B641" s="1" t="s">
        <v>141</v>
      </c>
      <c r="C641" s="4">
        <v>214</v>
      </c>
      <c r="D641" s="8">
        <v>1.61</v>
      </c>
      <c r="E641" s="4">
        <v>36</v>
      </c>
      <c r="F641" s="8">
        <v>0.56999999999999995</v>
      </c>
      <c r="G641" s="4">
        <v>178</v>
      </c>
      <c r="H641" s="8">
        <v>2.58</v>
      </c>
      <c r="I641" s="4">
        <v>0</v>
      </c>
    </row>
    <row r="642" spans="1:9" x14ac:dyDescent="0.15">
      <c r="A642" s="2">
        <v>14</v>
      </c>
      <c r="B642" s="1" t="s">
        <v>146</v>
      </c>
      <c r="C642" s="4">
        <v>210</v>
      </c>
      <c r="D642" s="8">
        <v>1.58</v>
      </c>
      <c r="E642" s="4">
        <v>16</v>
      </c>
      <c r="F642" s="8">
        <v>0.25</v>
      </c>
      <c r="G642" s="4">
        <v>194</v>
      </c>
      <c r="H642" s="8">
        <v>2.82</v>
      </c>
      <c r="I642" s="4">
        <v>0</v>
      </c>
    </row>
    <row r="643" spans="1:9" x14ac:dyDescent="0.15">
      <c r="A643" s="2">
        <v>15</v>
      </c>
      <c r="B643" s="1" t="s">
        <v>149</v>
      </c>
      <c r="C643" s="4">
        <v>201</v>
      </c>
      <c r="D643" s="8">
        <v>1.52</v>
      </c>
      <c r="E643" s="4">
        <v>20</v>
      </c>
      <c r="F643" s="8">
        <v>0.32</v>
      </c>
      <c r="G643" s="4">
        <v>180</v>
      </c>
      <c r="H643" s="8">
        <v>2.61</v>
      </c>
      <c r="I643" s="4">
        <v>1</v>
      </c>
    </row>
    <row r="644" spans="1:9" x14ac:dyDescent="0.15">
      <c r="A644" s="2">
        <v>16</v>
      </c>
      <c r="B644" s="1" t="s">
        <v>139</v>
      </c>
      <c r="C644" s="4">
        <v>194</v>
      </c>
      <c r="D644" s="8">
        <v>1.46</v>
      </c>
      <c r="E644" s="4">
        <v>22</v>
      </c>
      <c r="F644" s="8">
        <v>0.35</v>
      </c>
      <c r="G644" s="4">
        <v>172</v>
      </c>
      <c r="H644" s="8">
        <v>2.5</v>
      </c>
      <c r="I644" s="4">
        <v>0</v>
      </c>
    </row>
    <row r="645" spans="1:9" x14ac:dyDescent="0.15">
      <c r="A645" s="2">
        <v>16</v>
      </c>
      <c r="B645" s="1" t="s">
        <v>174</v>
      </c>
      <c r="C645" s="4">
        <v>194</v>
      </c>
      <c r="D645" s="8">
        <v>1.46</v>
      </c>
      <c r="E645" s="4">
        <v>65</v>
      </c>
      <c r="F645" s="8">
        <v>1.02</v>
      </c>
      <c r="G645" s="4">
        <v>129</v>
      </c>
      <c r="H645" s="8">
        <v>1.87</v>
      </c>
      <c r="I645" s="4">
        <v>0</v>
      </c>
    </row>
    <row r="646" spans="1:9" x14ac:dyDescent="0.15">
      <c r="A646" s="2">
        <v>18</v>
      </c>
      <c r="B646" s="1" t="s">
        <v>159</v>
      </c>
      <c r="C646" s="4">
        <v>190</v>
      </c>
      <c r="D646" s="8">
        <v>1.43</v>
      </c>
      <c r="E646" s="4">
        <v>48</v>
      </c>
      <c r="F646" s="8">
        <v>0.76</v>
      </c>
      <c r="G646" s="4">
        <v>142</v>
      </c>
      <c r="H646" s="8">
        <v>2.06</v>
      </c>
      <c r="I646" s="4">
        <v>0</v>
      </c>
    </row>
    <row r="647" spans="1:9" x14ac:dyDescent="0.15">
      <c r="A647" s="2">
        <v>19</v>
      </c>
      <c r="B647" s="1" t="s">
        <v>147</v>
      </c>
      <c r="C647" s="4">
        <v>184</v>
      </c>
      <c r="D647" s="8">
        <v>1.39</v>
      </c>
      <c r="E647" s="4">
        <v>68</v>
      </c>
      <c r="F647" s="8">
        <v>1.07</v>
      </c>
      <c r="G647" s="4">
        <v>115</v>
      </c>
      <c r="H647" s="8">
        <v>1.67</v>
      </c>
      <c r="I647" s="4">
        <v>1</v>
      </c>
    </row>
    <row r="648" spans="1:9" x14ac:dyDescent="0.15">
      <c r="A648" s="2">
        <v>20</v>
      </c>
      <c r="B648" s="1" t="s">
        <v>143</v>
      </c>
      <c r="C648" s="4">
        <v>183</v>
      </c>
      <c r="D648" s="8">
        <v>1.38</v>
      </c>
      <c r="E648" s="4">
        <v>109</v>
      </c>
      <c r="F648" s="8">
        <v>1.72</v>
      </c>
      <c r="G648" s="4">
        <v>74</v>
      </c>
      <c r="H648" s="8">
        <v>1.07</v>
      </c>
      <c r="I648" s="4">
        <v>0</v>
      </c>
    </row>
    <row r="649" spans="1:9" x14ac:dyDescent="0.15">
      <c r="A649" s="1"/>
      <c r="C649" s="4"/>
      <c r="D649" s="8"/>
      <c r="E649" s="4"/>
      <c r="F649" s="8"/>
      <c r="G649" s="4"/>
      <c r="H649" s="8"/>
      <c r="I649" s="4"/>
    </row>
    <row r="650" spans="1:9" x14ac:dyDescent="0.15">
      <c r="A650" s="1" t="s">
        <v>29</v>
      </c>
      <c r="C650" s="4"/>
      <c r="D650" s="8"/>
      <c r="E650" s="4"/>
      <c r="F650" s="8"/>
      <c r="G650" s="4"/>
      <c r="H650" s="8"/>
      <c r="I650" s="4"/>
    </row>
    <row r="651" spans="1:9" x14ac:dyDescent="0.15">
      <c r="A651" s="2">
        <v>1</v>
      </c>
      <c r="B651" s="1" t="s">
        <v>148</v>
      </c>
      <c r="C651" s="4">
        <v>199</v>
      </c>
      <c r="D651" s="8">
        <v>5.67</v>
      </c>
      <c r="E651" s="4">
        <v>172</v>
      </c>
      <c r="F651" s="8">
        <v>9.74</v>
      </c>
      <c r="G651" s="4">
        <v>27</v>
      </c>
      <c r="H651" s="8">
        <v>1.55</v>
      </c>
      <c r="I651" s="4">
        <v>0</v>
      </c>
    </row>
    <row r="652" spans="1:9" x14ac:dyDescent="0.15">
      <c r="A652" s="2">
        <v>2</v>
      </c>
      <c r="B652" s="1" t="s">
        <v>155</v>
      </c>
      <c r="C652" s="4">
        <v>151</v>
      </c>
      <c r="D652" s="8">
        <v>4.3</v>
      </c>
      <c r="E652" s="4">
        <v>136</v>
      </c>
      <c r="F652" s="8">
        <v>7.7</v>
      </c>
      <c r="G652" s="4">
        <v>15</v>
      </c>
      <c r="H652" s="8">
        <v>0.86</v>
      </c>
      <c r="I652" s="4">
        <v>0</v>
      </c>
    </row>
    <row r="653" spans="1:9" x14ac:dyDescent="0.15">
      <c r="A653" s="2">
        <v>3</v>
      </c>
      <c r="B653" s="1" t="s">
        <v>156</v>
      </c>
      <c r="C653" s="4">
        <v>117</v>
      </c>
      <c r="D653" s="8">
        <v>3.33</v>
      </c>
      <c r="E653" s="4">
        <v>98</v>
      </c>
      <c r="F653" s="8">
        <v>5.55</v>
      </c>
      <c r="G653" s="4">
        <v>18</v>
      </c>
      <c r="H653" s="8">
        <v>1.03</v>
      </c>
      <c r="I653" s="4">
        <v>1</v>
      </c>
    </row>
    <row r="654" spans="1:9" x14ac:dyDescent="0.15">
      <c r="A654" s="2">
        <v>4</v>
      </c>
      <c r="B654" s="1" t="s">
        <v>157</v>
      </c>
      <c r="C654" s="4">
        <v>97</v>
      </c>
      <c r="D654" s="8">
        <v>2.76</v>
      </c>
      <c r="E654" s="4">
        <v>80</v>
      </c>
      <c r="F654" s="8">
        <v>4.53</v>
      </c>
      <c r="G654" s="4">
        <v>17</v>
      </c>
      <c r="H654" s="8">
        <v>0.98</v>
      </c>
      <c r="I654" s="4">
        <v>0</v>
      </c>
    </row>
    <row r="655" spans="1:9" x14ac:dyDescent="0.15">
      <c r="A655" s="2">
        <v>5</v>
      </c>
      <c r="B655" s="1" t="s">
        <v>154</v>
      </c>
      <c r="C655" s="4">
        <v>95</v>
      </c>
      <c r="D655" s="8">
        <v>2.71</v>
      </c>
      <c r="E655" s="4">
        <v>88</v>
      </c>
      <c r="F655" s="8">
        <v>4.9800000000000004</v>
      </c>
      <c r="G655" s="4">
        <v>7</v>
      </c>
      <c r="H655" s="8">
        <v>0.4</v>
      </c>
      <c r="I655" s="4">
        <v>0</v>
      </c>
    </row>
    <row r="656" spans="1:9" x14ac:dyDescent="0.15">
      <c r="A656" s="2">
        <v>6</v>
      </c>
      <c r="B656" s="1" t="s">
        <v>138</v>
      </c>
      <c r="C656" s="4">
        <v>88</v>
      </c>
      <c r="D656" s="8">
        <v>2.5099999999999998</v>
      </c>
      <c r="E656" s="4">
        <v>19</v>
      </c>
      <c r="F656" s="8">
        <v>1.08</v>
      </c>
      <c r="G656" s="4">
        <v>69</v>
      </c>
      <c r="H656" s="8">
        <v>3.96</v>
      </c>
      <c r="I656" s="4">
        <v>0</v>
      </c>
    </row>
    <row r="657" spans="1:9" x14ac:dyDescent="0.15">
      <c r="A657" s="2">
        <v>7</v>
      </c>
      <c r="B657" s="1" t="s">
        <v>151</v>
      </c>
      <c r="C657" s="4">
        <v>84</v>
      </c>
      <c r="D657" s="8">
        <v>2.39</v>
      </c>
      <c r="E657" s="4">
        <v>78</v>
      </c>
      <c r="F657" s="8">
        <v>4.42</v>
      </c>
      <c r="G657" s="4">
        <v>6</v>
      </c>
      <c r="H657" s="8">
        <v>0.34</v>
      </c>
      <c r="I657" s="4">
        <v>0</v>
      </c>
    </row>
    <row r="658" spans="1:9" x14ac:dyDescent="0.15">
      <c r="A658" s="2">
        <v>8</v>
      </c>
      <c r="B658" s="1" t="s">
        <v>150</v>
      </c>
      <c r="C658" s="4">
        <v>76</v>
      </c>
      <c r="D658" s="8">
        <v>2.17</v>
      </c>
      <c r="E658" s="4">
        <v>65</v>
      </c>
      <c r="F658" s="8">
        <v>3.68</v>
      </c>
      <c r="G658" s="4">
        <v>11</v>
      </c>
      <c r="H658" s="8">
        <v>0.63</v>
      </c>
      <c r="I658" s="4">
        <v>0</v>
      </c>
    </row>
    <row r="659" spans="1:9" x14ac:dyDescent="0.15">
      <c r="A659" s="2">
        <v>9</v>
      </c>
      <c r="B659" s="1" t="s">
        <v>174</v>
      </c>
      <c r="C659" s="4">
        <v>74</v>
      </c>
      <c r="D659" s="8">
        <v>2.11</v>
      </c>
      <c r="E659" s="4">
        <v>35</v>
      </c>
      <c r="F659" s="8">
        <v>1.98</v>
      </c>
      <c r="G659" s="4">
        <v>39</v>
      </c>
      <c r="H659" s="8">
        <v>2.2400000000000002</v>
      </c>
      <c r="I659" s="4">
        <v>0</v>
      </c>
    </row>
    <row r="660" spans="1:9" x14ac:dyDescent="0.15">
      <c r="A660" s="2">
        <v>10</v>
      </c>
      <c r="B660" s="1" t="s">
        <v>141</v>
      </c>
      <c r="C660" s="4">
        <v>58</v>
      </c>
      <c r="D660" s="8">
        <v>1.65</v>
      </c>
      <c r="E660" s="4">
        <v>13</v>
      </c>
      <c r="F660" s="8">
        <v>0.74</v>
      </c>
      <c r="G660" s="4">
        <v>45</v>
      </c>
      <c r="H660" s="8">
        <v>2.58</v>
      </c>
      <c r="I660" s="4">
        <v>0</v>
      </c>
    </row>
    <row r="661" spans="1:9" x14ac:dyDescent="0.15">
      <c r="A661" s="2">
        <v>11</v>
      </c>
      <c r="B661" s="1" t="s">
        <v>140</v>
      </c>
      <c r="C661" s="4">
        <v>56</v>
      </c>
      <c r="D661" s="8">
        <v>1.6</v>
      </c>
      <c r="E661" s="4">
        <v>13</v>
      </c>
      <c r="F661" s="8">
        <v>0.74</v>
      </c>
      <c r="G661" s="4">
        <v>43</v>
      </c>
      <c r="H661" s="8">
        <v>2.4700000000000002</v>
      </c>
      <c r="I661" s="4">
        <v>0</v>
      </c>
    </row>
    <row r="662" spans="1:9" x14ac:dyDescent="0.15">
      <c r="A662" s="2">
        <v>11</v>
      </c>
      <c r="B662" s="1" t="s">
        <v>145</v>
      </c>
      <c r="C662" s="4">
        <v>56</v>
      </c>
      <c r="D662" s="8">
        <v>1.6</v>
      </c>
      <c r="E662" s="4">
        <v>32</v>
      </c>
      <c r="F662" s="8">
        <v>1.81</v>
      </c>
      <c r="G662" s="4">
        <v>24</v>
      </c>
      <c r="H662" s="8">
        <v>1.38</v>
      </c>
      <c r="I662" s="4">
        <v>0</v>
      </c>
    </row>
    <row r="663" spans="1:9" x14ac:dyDescent="0.15">
      <c r="A663" s="2">
        <v>11</v>
      </c>
      <c r="B663" s="1" t="s">
        <v>173</v>
      </c>
      <c r="C663" s="4">
        <v>56</v>
      </c>
      <c r="D663" s="8">
        <v>1.6</v>
      </c>
      <c r="E663" s="4">
        <v>49</v>
      </c>
      <c r="F663" s="8">
        <v>2.77</v>
      </c>
      <c r="G663" s="4">
        <v>7</v>
      </c>
      <c r="H663" s="8">
        <v>0.4</v>
      </c>
      <c r="I663" s="4">
        <v>0</v>
      </c>
    </row>
    <row r="664" spans="1:9" x14ac:dyDescent="0.15">
      <c r="A664" s="2">
        <v>11</v>
      </c>
      <c r="B664" s="1" t="s">
        <v>153</v>
      </c>
      <c r="C664" s="4">
        <v>56</v>
      </c>
      <c r="D664" s="8">
        <v>1.6</v>
      </c>
      <c r="E664" s="4">
        <v>29</v>
      </c>
      <c r="F664" s="8">
        <v>1.64</v>
      </c>
      <c r="G664" s="4">
        <v>27</v>
      </c>
      <c r="H664" s="8">
        <v>1.55</v>
      </c>
      <c r="I664" s="4">
        <v>0</v>
      </c>
    </row>
    <row r="665" spans="1:9" x14ac:dyDescent="0.15">
      <c r="A665" s="2">
        <v>15</v>
      </c>
      <c r="B665" s="1" t="s">
        <v>143</v>
      </c>
      <c r="C665" s="4">
        <v>50</v>
      </c>
      <c r="D665" s="8">
        <v>1.42</v>
      </c>
      <c r="E665" s="4">
        <v>35</v>
      </c>
      <c r="F665" s="8">
        <v>1.98</v>
      </c>
      <c r="G665" s="4">
        <v>15</v>
      </c>
      <c r="H665" s="8">
        <v>0.86</v>
      </c>
      <c r="I665" s="4">
        <v>0</v>
      </c>
    </row>
    <row r="666" spans="1:9" x14ac:dyDescent="0.15">
      <c r="A666" s="2">
        <v>15</v>
      </c>
      <c r="B666" s="1" t="s">
        <v>181</v>
      </c>
      <c r="C666" s="4">
        <v>50</v>
      </c>
      <c r="D666" s="8">
        <v>1.42</v>
      </c>
      <c r="E666" s="4">
        <v>36</v>
      </c>
      <c r="F666" s="8">
        <v>2.04</v>
      </c>
      <c r="G666" s="4">
        <v>14</v>
      </c>
      <c r="H666" s="8">
        <v>0.8</v>
      </c>
      <c r="I666" s="4">
        <v>0</v>
      </c>
    </row>
    <row r="667" spans="1:9" x14ac:dyDescent="0.15">
      <c r="A667" s="2">
        <v>17</v>
      </c>
      <c r="B667" s="1" t="s">
        <v>144</v>
      </c>
      <c r="C667" s="4">
        <v>48</v>
      </c>
      <c r="D667" s="8">
        <v>1.37</v>
      </c>
      <c r="E667" s="4">
        <v>22</v>
      </c>
      <c r="F667" s="8">
        <v>1.25</v>
      </c>
      <c r="G667" s="4">
        <v>26</v>
      </c>
      <c r="H667" s="8">
        <v>1.49</v>
      </c>
      <c r="I667" s="4">
        <v>0</v>
      </c>
    </row>
    <row r="668" spans="1:9" x14ac:dyDescent="0.15">
      <c r="A668" s="2">
        <v>18</v>
      </c>
      <c r="B668" s="1" t="s">
        <v>139</v>
      </c>
      <c r="C668" s="4">
        <v>47</v>
      </c>
      <c r="D668" s="8">
        <v>1.34</v>
      </c>
      <c r="E668" s="4">
        <v>11</v>
      </c>
      <c r="F668" s="8">
        <v>0.62</v>
      </c>
      <c r="G668" s="4">
        <v>36</v>
      </c>
      <c r="H668" s="8">
        <v>2.0699999999999998</v>
      </c>
      <c r="I668" s="4">
        <v>0</v>
      </c>
    </row>
    <row r="669" spans="1:9" x14ac:dyDescent="0.15">
      <c r="A669" s="2">
        <v>18</v>
      </c>
      <c r="B669" s="1" t="s">
        <v>147</v>
      </c>
      <c r="C669" s="4">
        <v>47</v>
      </c>
      <c r="D669" s="8">
        <v>1.34</v>
      </c>
      <c r="E669" s="4">
        <v>21</v>
      </c>
      <c r="F669" s="8">
        <v>1.19</v>
      </c>
      <c r="G669" s="4">
        <v>26</v>
      </c>
      <c r="H669" s="8">
        <v>1.49</v>
      </c>
      <c r="I669" s="4">
        <v>0</v>
      </c>
    </row>
    <row r="670" spans="1:9" x14ac:dyDescent="0.15">
      <c r="A670" s="2">
        <v>20</v>
      </c>
      <c r="B670" s="1" t="s">
        <v>142</v>
      </c>
      <c r="C670" s="4">
        <v>46</v>
      </c>
      <c r="D670" s="8">
        <v>1.31</v>
      </c>
      <c r="E670" s="4">
        <v>8</v>
      </c>
      <c r="F670" s="8">
        <v>0.45</v>
      </c>
      <c r="G670" s="4">
        <v>38</v>
      </c>
      <c r="H670" s="8">
        <v>2.1800000000000002</v>
      </c>
      <c r="I670" s="4">
        <v>0</v>
      </c>
    </row>
    <row r="671" spans="1:9" x14ac:dyDescent="0.15">
      <c r="A671" s="1"/>
      <c r="C671" s="4"/>
      <c r="D671" s="8"/>
      <c r="E671" s="4"/>
      <c r="F671" s="8"/>
      <c r="G671" s="4"/>
      <c r="H671" s="8"/>
      <c r="I671" s="4"/>
    </row>
    <row r="672" spans="1:9" x14ac:dyDescent="0.15">
      <c r="A672" s="1" t="s">
        <v>30</v>
      </c>
      <c r="C672" s="4"/>
      <c r="D672" s="8"/>
      <c r="E672" s="4"/>
      <c r="F672" s="8"/>
      <c r="G672" s="4"/>
      <c r="H672" s="8"/>
      <c r="I672" s="4"/>
    </row>
    <row r="673" spans="1:9" x14ac:dyDescent="0.15">
      <c r="A673" s="2">
        <v>1</v>
      </c>
      <c r="B673" s="1" t="s">
        <v>155</v>
      </c>
      <c r="C673" s="4">
        <v>234</v>
      </c>
      <c r="D673" s="8">
        <v>4.62</v>
      </c>
      <c r="E673" s="4">
        <v>203</v>
      </c>
      <c r="F673" s="8">
        <v>8.9700000000000006</v>
      </c>
      <c r="G673" s="4">
        <v>31</v>
      </c>
      <c r="H673" s="8">
        <v>1.1100000000000001</v>
      </c>
      <c r="I673" s="4">
        <v>0</v>
      </c>
    </row>
    <row r="674" spans="1:9" x14ac:dyDescent="0.15">
      <c r="A674" s="2">
        <v>2</v>
      </c>
      <c r="B674" s="1" t="s">
        <v>151</v>
      </c>
      <c r="C674" s="4">
        <v>192</v>
      </c>
      <c r="D674" s="8">
        <v>3.79</v>
      </c>
      <c r="E674" s="4">
        <v>182</v>
      </c>
      <c r="F674" s="8">
        <v>8.0399999999999991</v>
      </c>
      <c r="G674" s="4">
        <v>10</v>
      </c>
      <c r="H674" s="8">
        <v>0.36</v>
      </c>
      <c r="I674" s="4">
        <v>0</v>
      </c>
    </row>
    <row r="675" spans="1:9" x14ac:dyDescent="0.15">
      <c r="A675" s="2">
        <v>3</v>
      </c>
      <c r="B675" s="1" t="s">
        <v>154</v>
      </c>
      <c r="C675" s="4">
        <v>173</v>
      </c>
      <c r="D675" s="8">
        <v>3.42</v>
      </c>
      <c r="E675" s="4">
        <v>155</v>
      </c>
      <c r="F675" s="8">
        <v>6.85</v>
      </c>
      <c r="G675" s="4">
        <v>18</v>
      </c>
      <c r="H675" s="8">
        <v>0.64</v>
      </c>
      <c r="I675" s="4">
        <v>0</v>
      </c>
    </row>
    <row r="676" spans="1:9" x14ac:dyDescent="0.15">
      <c r="A676" s="2">
        <v>4</v>
      </c>
      <c r="B676" s="1" t="s">
        <v>156</v>
      </c>
      <c r="C676" s="4">
        <v>159</v>
      </c>
      <c r="D676" s="8">
        <v>3.14</v>
      </c>
      <c r="E676" s="4">
        <v>131</v>
      </c>
      <c r="F676" s="8">
        <v>5.79</v>
      </c>
      <c r="G676" s="4">
        <v>27</v>
      </c>
      <c r="H676" s="8">
        <v>0.97</v>
      </c>
      <c r="I676" s="4">
        <v>1</v>
      </c>
    </row>
    <row r="677" spans="1:9" x14ac:dyDescent="0.15">
      <c r="A677" s="2">
        <v>5</v>
      </c>
      <c r="B677" s="1" t="s">
        <v>148</v>
      </c>
      <c r="C677" s="4">
        <v>144</v>
      </c>
      <c r="D677" s="8">
        <v>2.84</v>
      </c>
      <c r="E677" s="4">
        <v>98</v>
      </c>
      <c r="F677" s="8">
        <v>4.33</v>
      </c>
      <c r="G677" s="4">
        <v>46</v>
      </c>
      <c r="H677" s="8">
        <v>1.65</v>
      </c>
      <c r="I677" s="4">
        <v>0</v>
      </c>
    </row>
    <row r="678" spans="1:9" x14ac:dyDescent="0.15">
      <c r="A678" s="2">
        <v>6</v>
      </c>
      <c r="B678" s="1" t="s">
        <v>150</v>
      </c>
      <c r="C678" s="4">
        <v>136</v>
      </c>
      <c r="D678" s="8">
        <v>2.69</v>
      </c>
      <c r="E678" s="4">
        <v>104</v>
      </c>
      <c r="F678" s="8">
        <v>4.5999999999999996</v>
      </c>
      <c r="G678" s="4">
        <v>32</v>
      </c>
      <c r="H678" s="8">
        <v>1.1399999999999999</v>
      </c>
      <c r="I678" s="4">
        <v>0</v>
      </c>
    </row>
    <row r="679" spans="1:9" x14ac:dyDescent="0.15">
      <c r="A679" s="2">
        <v>7</v>
      </c>
      <c r="B679" s="1" t="s">
        <v>157</v>
      </c>
      <c r="C679" s="4">
        <v>124</v>
      </c>
      <c r="D679" s="8">
        <v>2.4500000000000002</v>
      </c>
      <c r="E679" s="4">
        <v>107</v>
      </c>
      <c r="F679" s="8">
        <v>4.7300000000000004</v>
      </c>
      <c r="G679" s="4">
        <v>17</v>
      </c>
      <c r="H679" s="8">
        <v>0.61</v>
      </c>
      <c r="I679" s="4">
        <v>0</v>
      </c>
    </row>
    <row r="680" spans="1:9" x14ac:dyDescent="0.15">
      <c r="A680" s="2">
        <v>8</v>
      </c>
      <c r="B680" s="1" t="s">
        <v>152</v>
      </c>
      <c r="C680" s="4">
        <v>114</v>
      </c>
      <c r="D680" s="8">
        <v>2.25</v>
      </c>
      <c r="E680" s="4">
        <v>101</v>
      </c>
      <c r="F680" s="8">
        <v>4.46</v>
      </c>
      <c r="G680" s="4">
        <v>13</v>
      </c>
      <c r="H680" s="8">
        <v>0.47</v>
      </c>
      <c r="I680" s="4">
        <v>0</v>
      </c>
    </row>
    <row r="681" spans="1:9" x14ac:dyDescent="0.15">
      <c r="A681" s="2">
        <v>9</v>
      </c>
      <c r="B681" s="1" t="s">
        <v>153</v>
      </c>
      <c r="C681" s="4">
        <v>95</v>
      </c>
      <c r="D681" s="8">
        <v>1.88</v>
      </c>
      <c r="E681" s="4">
        <v>44</v>
      </c>
      <c r="F681" s="8">
        <v>1.94</v>
      </c>
      <c r="G681" s="4">
        <v>51</v>
      </c>
      <c r="H681" s="8">
        <v>1.82</v>
      </c>
      <c r="I681" s="4">
        <v>0</v>
      </c>
    </row>
    <row r="682" spans="1:9" x14ac:dyDescent="0.15">
      <c r="A682" s="2">
        <v>10</v>
      </c>
      <c r="B682" s="1" t="s">
        <v>140</v>
      </c>
      <c r="C682" s="4">
        <v>91</v>
      </c>
      <c r="D682" s="8">
        <v>1.8</v>
      </c>
      <c r="E682" s="4">
        <v>16</v>
      </c>
      <c r="F682" s="8">
        <v>0.71</v>
      </c>
      <c r="G682" s="4">
        <v>75</v>
      </c>
      <c r="H682" s="8">
        <v>2.68</v>
      </c>
      <c r="I682" s="4">
        <v>0</v>
      </c>
    </row>
    <row r="683" spans="1:9" x14ac:dyDescent="0.15">
      <c r="A683" s="2">
        <v>11</v>
      </c>
      <c r="B683" s="1" t="s">
        <v>141</v>
      </c>
      <c r="C683" s="4">
        <v>90</v>
      </c>
      <c r="D683" s="8">
        <v>1.78</v>
      </c>
      <c r="E683" s="4">
        <v>10</v>
      </c>
      <c r="F683" s="8">
        <v>0.44</v>
      </c>
      <c r="G683" s="4">
        <v>80</v>
      </c>
      <c r="H683" s="8">
        <v>2.86</v>
      </c>
      <c r="I683" s="4">
        <v>0</v>
      </c>
    </row>
    <row r="684" spans="1:9" x14ac:dyDescent="0.15">
      <c r="A684" s="2">
        <v>12</v>
      </c>
      <c r="B684" s="1" t="s">
        <v>145</v>
      </c>
      <c r="C684" s="4">
        <v>88</v>
      </c>
      <c r="D684" s="8">
        <v>1.74</v>
      </c>
      <c r="E684" s="4">
        <v>61</v>
      </c>
      <c r="F684" s="8">
        <v>2.7</v>
      </c>
      <c r="G684" s="4">
        <v>27</v>
      </c>
      <c r="H684" s="8">
        <v>0.97</v>
      </c>
      <c r="I684" s="4">
        <v>0</v>
      </c>
    </row>
    <row r="685" spans="1:9" x14ac:dyDescent="0.15">
      <c r="A685" s="2">
        <v>13</v>
      </c>
      <c r="B685" s="1" t="s">
        <v>174</v>
      </c>
      <c r="C685" s="4">
        <v>78</v>
      </c>
      <c r="D685" s="8">
        <v>1.54</v>
      </c>
      <c r="E685" s="4">
        <v>20</v>
      </c>
      <c r="F685" s="8">
        <v>0.88</v>
      </c>
      <c r="G685" s="4">
        <v>58</v>
      </c>
      <c r="H685" s="8">
        <v>2.08</v>
      </c>
      <c r="I685" s="4">
        <v>0</v>
      </c>
    </row>
    <row r="686" spans="1:9" x14ac:dyDescent="0.15">
      <c r="A686" s="2">
        <v>13</v>
      </c>
      <c r="B686" s="1" t="s">
        <v>146</v>
      </c>
      <c r="C686" s="4">
        <v>78</v>
      </c>
      <c r="D686" s="8">
        <v>1.54</v>
      </c>
      <c r="E686" s="4">
        <v>4</v>
      </c>
      <c r="F686" s="8">
        <v>0.18</v>
      </c>
      <c r="G686" s="4">
        <v>74</v>
      </c>
      <c r="H686" s="8">
        <v>2.65</v>
      </c>
      <c r="I686" s="4">
        <v>0</v>
      </c>
    </row>
    <row r="687" spans="1:9" x14ac:dyDescent="0.15">
      <c r="A687" s="2">
        <v>15</v>
      </c>
      <c r="B687" s="1" t="s">
        <v>158</v>
      </c>
      <c r="C687" s="4">
        <v>77</v>
      </c>
      <c r="D687" s="8">
        <v>1.52</v>
      </c>
      <c r="E687" s="4">
        <v>16</v>
      </c>
      <c r="F687" s="8">
        <v>0.71</v>
      </c>
      <c r="G687" s="4">
        <v>61</v>
      </c>
      <c r="H687" s="8">
        <v>2.1800000000000002</v>
      </c>
      <c r="I687" s="4">
        <v>0</v>
      </c>
    </row>
    <row r="688" spans="1:9" x14ac:dyDescent="0.15">
      <c r="A688" s="2">
        <v>16</v>
      </c>
      <c r="B688" s="1" t="s">
        <v>138</v>
      </c>
      <c r="C688" s="4">
        <v>76</v>
      </c>
      <c r="D688" s="8">
        <v>1.5</v>
      </c>
      <c r="E688" s="4">
        <v>9</v>
      </c>
      <c r="F688" s="8">
        <v>0.4</v>
      </c>
      <c r="G688" s="4">
        <v>67</v>
      </c>
      <c r="H688" s="8">
        <v>2.4</v>
      </c>
      <c r="I688" s="4">
        <v>0</v>
      </c>
    </row>
    <row r="689" spans="1:9" x14ac:dyDescent="0.15">
      <c r="A689" s="2">
        <v>17</v>
      </c>
      <c r="B689" s="1" t="s">
        <v>149</v>
      </c>
      <c r="C689" s="4">
        <v>75</v>
      </c>
      <c r="D689" s="8">
        <v>1.48</v>
      </c>
      <c r="E689" s="4">
        <v>6</v>
      </c>
      <c r="F689" s="8">
        <v>0.27</v>
      </c>
      <c r="G689" s="4">
        <v>68</v>
      </c>
      <c r="H689" s="8">
        <v>2.4300000000000002</v>
      </c>
      <c r="I689" s="4">
        <v>1</v>
      </c>
    </row>
    <row r="690" spans="1:9" x14ac:dyDescent="0.15">
      <c r="A690" s="2">
        <v>17</v>
      </c>
      <c r="B690" s="1" t="s">
        <v>159</v>
      </c>
      <c r="C690" s="4">
        <v>75</v>
      </c>
      <c r="D690" s="8">
        <v>1.48</v>
      </c>
      <c r="E690" s="4">
        <v>13</v>
      </c>
      <c r="F690" s="8">
        <v>0.56999999999999995</v>
      </c>
      <c r="G690" s="4">
        <v>62</v>
      </c>
      <c r="H690" s="8">
        <v>2.2200000000000002</v>
      </c>
      <c r="I690" s="4">
        <v>0</v>
      </c>
    </row>
    <row r="691" spans="1:9" x14ac:dyDescent="0.15">
      <c r="A691" s="2">
        <v>19</v>
      </c>
      <c r="B691" s="1" t="s">
        <v>181</v>
      </c>
      <c r="C691" s="4">
        <v>69</v>
      </c>
      <c r="D691" s="8">
        <v>1.36</v>
      </c>
      <c r="E691" s="4">
        <v>32</v>
      </c>
      <c r="F691" s="8">
        <v>1.41</v>
      </c>
      <c r="G691" s="4">
        <v>37</v>
      </c>
      <c r="H691" s="8">
        <v>1.32</v>
      </c>
      <c r="I691" s="4">
        <v>0</v>
      </c>
    </row>
    <row r="692" spans="1:9" x14ac:dyDescent="0.15">
      <c r="A692" s="2">
        <v>20</v>
      </c>
      <c r="B692" s="1" t="s">
        <v>147</v>
      </c>
      <c r="C692" s="4">
        <v>67</v>
      </c>
      <c r="D692" s="8">
        <v>1.32</v>
      </c>
      <c r="E692" s="4">
        <v>20</v>
      </c>
      <c r="F692" s="8">
        <v>0.88</v>
      </c>
      <c r="G692" s="4">
        <v>46</v>
      </c>
      <c r="H692" s="8">
        <v>1.65</v>
      </c>
      <c r="I692" s="4">
        <v>1</v>
      </c>
    </row>
    <row r="693" spans="1:9" x14ac:dyDescent="0.15">
      <c r="A693" s="1"/>
      <c r="C693" s="4"/>
      <c r="D693" s="8"/>
      <c r="E693" s="4"/>
      <c r="F693" s="8"/>
      <c r="G693" s="4"/>
      <c r="H693" s="8"/>
      <c r="I693" s="4"/>
    </row>
    <row r="694" spans="1:9" x14ac:dyDescent="0.15">
      <c r="A694" s="1" t="s">
        <v>31</v>
      </c>
      <c r="C694" s="4"/>
      <c r="D694" s="8"/>
      <c r="E694" s="4"/>
      <c r="F694" s="8"/>
      <c r="G694" s="4"/>
      <c r="H694" s="8"/>
      <c r="I694" s="4"/>
    </row>
    <row r="695" spans="1:9" x14ac:dyDescent="0.15">
      <c r="A695" s="2">
        <v>1</v>
      </c>
      <c r="B695" s="1" t="s">
        <v>148</v>
      </c>
      <c r="C695" s="4">
        <v>384</v>
      </c>
      <c r="D695" s="8">
        <v>8.2100000000000009</v>
      </c>
      <c r="E695" s="4">
        <v>330</v>
      </c>
      <c r="F695" s="8">
        <v>14.22</v>
      </c>
      <c r="G695" s="4">
        <v>54</v>
      </c>
      <c r="H695" s="8">
        <v>2.29</v>
      </c>
      <c r="I695" s="4">
        <v>0</v>
      </c>
    </row>
    <row r="696" spans="1:9" x14ac:dyDescent="0.15">
      <c r="A696" s="2">
        <v>2</v>
      </c>
      <c r="B696" s="1" t="s">
        <v>155</v>
      </c>
      <c r="C696" s="4">
        <v>233</v>
      </c>
      <c r="D696" s="8">
        <v>4.9800000000000004</v>
      </c>
      <c r="E696" s="4">
        <v>197</v>
      </c>
      <c r="F696" s="8">
        <v>8.49</v>
      </c>
      <c r="G696" s="4">
        <v>36</v>
      </c>
      <c r="H696" s="8">
        <v>1.53</v>
      </c>
      <c r="I696" s="4">
        <v>0</v>
      </c>
    </row>
    <row r="697" spans="1:9" x14ac:dyDescent="0.15">
      <c r="A697" s="2">
        <v>3</v>
      </c>
      <c r="B697" s="1" t="s">
        <v>156</v>
      </c>
      <c r="C697" s="4">
        <v>177</v>
      </c>
      <c r="D697" s="8">
        <v>3.78</v>
      </c>
      <c r="E697" s="4">
        <v>144</v>
      </c>
      <c r="F697" s="8">
        <v>6.21</v>
      </c>
      <c r="G697" s="4">
        <v>33</v>
      </c>
      <c r="H697" s="8">
        <v>1.4</v>
      </c>
      <c r="I697" s="4">
        <v>0</v>
      </c>
    </row>
    <row r="698" spans="1:9" x14ac:dyDescent="0.15">
      <c r="A698" s="2">
        <v>4</v>
      </c>
      <c r="B698" s="1" t="s">
        <v>157</v>
      </c>
      <c r="C698" s="4">
        <v>148</v>
      </c>
      <c r="D698" s="8">
        <v>3.16</v>
      </c>
      <c r="E698" s="4">
        <v>116</v>
      </c>
      <c r="F698" s="8">
        <v>5</v>
      </c>
      <c r="G698" s="4">
        <v>32</v>
      </c>
      <c r="H698" s="8">
        <v>1.36</v>
      </c>
      <c r="I698" s="4">
        <v>0</v>
      </c>
    </row>
    <row r="699" spans="1:9" x14ac:dyDescent="0.15">
      <c r="A699" s="2">
        <v>5</v>
      </c>
      <c r="B699" s="1" t="s">
        <v>154</v>
      </c>
      <c r="C699" s="4">
        <v>143</v>
      </c>
      <c r="D699" s="8">
        <v>3.06</v>
      </c>
      <c r="E699" s="4">
        <v>134</v>
      </c>
      <c r="F699" s="8">
        <v>5.78</v>
      </c>
      <c r="G699" s="4">
        <v>9</v>
      </c>
      <c r="H699" s="8">
        <v>0.38</v>
      </c>
      <c r="I699" s="4">
        <v>0</v>
      </c>
    </row>
    <row r="700" spans="1:9" x14ac:dyDescent="0.15">
      <c r="A700" s="2">
        <v>6</v>
      </c>
      <c r="B700" s="1" t="s">
        <v>151</v>
      </c>
      <c r="C700" s="4">
        <v>119</v>
      </c>
      <c r="D700" s="8">
        <v>2.54</v>
      </c>
      <c r="E700" s="4">
        <v>110</v>
      </c>
      <c r="F700" s="8">
        <v>4.74</v>
      </c>
      <c r="G700" s="4">
        <v>9</v>
      </c>
      <c r="H700" s="8">
        <v>0.38</v>
      </c>
      <c r="I700" s="4">
        <v>0</v>
      </c>
    </row>
    <row r="701" spans="1:9" x14ac:dyDescent="0.15">
      <c r="A701" s="2">
        <v>7</v>
      </c>
      <c r="B701" s="1" t="s">
        <v>150</v>
      </c>
      <c r="C701" s="4">
        <v>118</v>
      </c>
      <c r="D701" s="8">
        <v>2.52</v>
      </c>
      <c r="E701" s="4">
        <v>87</v>
      </c>
      <c r="F701" s="8">
        <v>3.75</v>
      </c>
      <c r="G701" s="4">
        <v>31</v>
      </c>
      <c r="H701" s="8">
        <v>1.32</v>
      </c>
      <c r="I701" s="4">
        <v>0</v>
      </c>
    </row>
    <row r="702" spans="1:9" x14ac:dyDescent="0.15">
      <c r="A702" s="2">
        <v>8</v>
      </c>
      <c r="B702" s="1" t="s">
        <v>140</v>
      </c>
      <c r="C702" s="4">
        <v>94</v>
      </c>
      <c r="D702" s="8">
        <v>2.0099999999999998</v>
      </c>
      <c r="E702" s="4">
        <v>16</v>
      </c>
      <c r="F702" s="8">
        <v>0.69</v>
      </c>
      <c r="G702" s="4">
        <v>78</v>
      </c>
      <c r="H702" s="8">
        <v>3.31</v>
      </c>
      <c r="I702" s="4">
        <v>0</v>
      </c>
    </row>
    <row r="703" spans="1:9" x14ac:dyDescent="0.15">
      <c r="A703" s="2">
        <v>9</v>
      </c>
      <c r="B703" s="1" t="s">
        <v>153</v>
      </c>
      <c r="C703" s="4">
        <v>93</v>
      </c>
      <c r="D703" s="8">
        <v>1.99</v>
      </c>
      <c r="E703" s="4">
        <v>60</v>
      </c>
      <c r="F703" s="8">
        <v>2.59</v>
      </c>
      <c r="G703" s="4">
        <v>33</v>
      </c>
      <c r="H703" s="8">
        <v>1.4</v>
      </c>
      <c r="I703" s="4">
        <v>0</v>
      </c>
    </row>
    <row r="704" spans="1:9" x14ac:dyDescent="0.15">
      <c r="A704" s="2">
        <v>10</v>
      </c>
      <c r="B704" s="1" t="s">
        <v>146</v>
      </c>
      <c r="C704" s="4">
        <v>92</v>
      </c>
      <c r="D704" s="8">
        <v>1.97</v>
      </c>
      <c r="E704" s="4">
        <v>5</v>
      </c>
      <c r="F704" s="8">
        <v>0.22</v>
      </c>
      <c r="G704" s="4">
        <v>87</v>
      </c>
      <c r="H704" s="8">
        <v>3.7</v>
      </c>
      <c r="I704" s="4">
        <v>0</v>
      </c>
    </row>
    <row r="705" spans="1:9" x14ac:dyDescent="0.15">
      <c r="A705" s="2">
        <v>11</v>
      </c>
      <c r="B705" s="1" t="s">
        <v>152</v>
      </c>
      <c r="C705" s="4">
        <v>90</v>
      </c>
      <c r="D705" s="8">
        <v>1.92</v>
      </c>
      <c r="E705" s="4">
        <v>89</v>
      </c>
      <c r="F705" s="8">
        <v>3.84</v>
      </c>
      <c r="G705" s="4">
        <v>1</v>
      </c>
      <c r="H705" s="8">
        <v>0.04</v>
      </c>
      <c r="I705" s="4">
        <v>0</v>
      </c>
    </row>
    <row r="706" spans="1:9" x14ac:dyDescent="0.15">
      <c r="A706" s="2">
        <v>12</v>
      </c>
      <c r="B706" s="1" t="s">
        <v>149</v>
      </c>
      <c r="C706" s="4">
        <v>86</v>
      </c>
      <c r="D706" s="8">
        <v>1.84</v>
      </c>
      <c r="E706" s="4">
        <v>9</v>
      </c>
      <c r="F706" s="8">
        <v>0.39</v>
      </c>
      <c r="G706" s="4">
        <v>77</v>
      </c>
      <c r="H706" s="8">
        <v>3.27</v>
      </c>
      <c r="I706" s="4">
        <v>0</v>
      </c>
    </row>
    <row r="707" spans="1:9" x14ac:dyDescent="0.15">
      <c r="A707" s="2">
        <v>13</v>
      </c>
      <c r="B707" s="1" t="s">
        <v>139</v>
      </c>
      <c r="C707" s="4">
        <v>85</v>
      </c>
      <c r="D707" s="8">
        <v>1.82</v>
      </c>
      <c r="E707" s="4">
        <v>7</v>
      </c>
      <c r="F707" s="8">
        <v>0.3</v>
      </c>
      <c r="G707" s="4">
        <v>78</v>
      </c>
      <c r="H707" s="8">
        <v>3.31</v>
      </c>
      <c r="I707" s="4">
        <v>0</v>
      </c>
    </row>
    <row r="708" spans="1:9" x14ac:dyDescent="0.15">
      <c r="A708" s="2">
        <v>14</v>
      </c>
      <c r="B708" s="1" t="s">
        <v>145</v>
      </c>
      <c r="C708" s="4">
        <v>84</v>
      </c>
      <c r="D708" s="8">
        <v>1.8</v>
      </c>
      <c r="E708" s="4">
        <v>42</v>
      </c>
      <c r="F708" s="8">
        <v>1.81</v>
      </c>
      <c r="G708" s="4">
        <v>42</v>
      </c>
      <c r="H708" s="8">
        <v>1.78</v>
      </c>
      <c r="I708" s="4">
        <v>0</v>
      </c>
    </row>
    <row r="709" spans="1:9" x14ac:dyDescent="0.15">
      <c r="A709" s="2">
        <v>15</v>
      </c>
      <c r="B709" s="1" t="s">
        <v>159</v>
      </c>
      <c r="C709" s="4">
        <v>79</v>
      </c>
      <c r="D709" s="8">
        <v>1.69</v>
      </c>
      <c r="E709" s="4">
        <v>24</v>
      </c>
      <c r="F709" s="8">
        <v>1.03</v>
      </c>
      <c r="G709" s="4">
        <v>55</v>
      </c>
      <c r="H709" s="8">
        <v>2.34</v>
      </c>
      <c r="I709" s="4">
        <v>0</v>
      </c>
    </row>
    <row r="710" spans="1:9" x14ac:dyDescent="0.15">
      <c r="A710" s="2">
        <v>16</v>
      </c>
      <c r="B710" s="1" t="s">
        <v>161</v>
      </c>
      <c r="C710" s="4">
        <v>72</v>
      </c>
      <c r="D710" s="8">
        <v>1.54</v>
      </c>
      <c r="E710" s="4">
        <v>19</v>
      </c>
      <c r="F710" s="8">
        <v>0.82</v>
      </c>
      <c r="G710" s="4">
        <v>53</v>
      </c>
      <c r="H710" s="8">
        <v>2.25</v>
      </c>
      <c r="I710" s="4">
        <v>0</v>
      </c>
    </row>
    <row r="711" spans="1:9" x14ac:dyDescent="0.15">
      <c r="A711" s="2">
        <v>17</v>
      </c>
      <c r="B711" s="1" t="s">
        <v>147</v>
      </c>
      <c r="C711" s="4">
        <v>70</v>
      </c>
      <c r="D711" s="8">
        <v>1.5</v>
      </c>
      <c r="E711" s="4">
        <v>27</v>
      </c>
      <c r="F711" s="8">
        <v>1.1599999999999999</v>
      </c>
      <c r="G711" s="4">
        <v>43</v>
      </c>
      <c r="H711" s="8">
        <v>1.83</v>
      </c>
      <c r="I711" s="4">
        <v>0</v>
      </c>
    </row>
    <row r="712" spans="1:9" x14ac:dyDescent="0.15">
      <c r="A712" s="2">
        <v>18</v>
      </c>
      <c r="B712" s="1" t="s">
        <v>143</v>
      </c>
      <c r="C712" s="4">
        <v>69</v>
      </c>
      <c r="D712" s="8">
        <v>1.47</v>
      </c>
      <c r="E712" s="4">
        <v>38</v>
      </c>
      <c r="F712" s="8">
        <v>1.64</v>
      </c>
      <c r="G712" s="4">
        <v>31</v>
      </c>
      <c r="H712" s="8">
        <v>1.32</v>
      </c>
      <c r="I712" s="4">
        <v>0</v>
      </c>
    </row>
    <row r="713" spans="1:9" x14ac:dyDescent="0.15">
      <c r="A713" s="2">
        <v>19</v>
      </c>
      <c r="B713" s="1" t="s">
        <v>141</v>
      </c>
      <c r="C713" s="4">
        <v>66</v>
      </c>
      <c r="D713" s="8">
        <v>1.41</v>
      </c>
      <c r="E713" s="4">
        <v>13</v>
      </c>
      <c r="F713" s="8">
        <v>0.56000000000000005</v>
      </c>
      <c r="G713" s="4">
        <v>53</v>
      </c>
      <c r="H713" s="8">
        <v>2.25</v>
      </c>
      <c r="I713" s="4">
        <v>0</v>
      </c>
    </row>
    <row r="714" spans="1:9" x14ac:dyDescent="0.15">
      <c r="A714" s="2">
        <v>20</v>
      </c>
      <c r="B714" s="1" t="s">
        <v>166</v>
      </c>
      <c r="C714" s="4">
        <v>62</v>
      </c>
      <c r="D714" s="8">
        <v>1.33</v>
      </c>
      <c r="E714" s="4">
        <v>43</v>
      </c>
      <c r="F714" s="8">
        <v>1.85</v>
      </c>
      <c r="G714" s="4">
        <v>19</v>
      </c>
      <c r="H714" s="8">
        <v>0.81</v>
      </c>
      <c r="I714" s="4">
        <v>0</v>
      </c>
    </row>
    <row r="715" spans="1:9" x14ac:dyDescent="0.15">
      <c r="A715" s="1"/>
      <c r="C715" s="4"/>
      <c r="D715" s="8"/>
      <c r="E715" s="4"/>
      <c r="F715" s="8"/>
      <c r="G715" s="4"/>
      <c r="H715" s="8"/>
      <c r="I715" s="4"/>
    </row>
    <row r="716" spans="1:9" x14ac:dyDescent="0.15">
      <c r="A716" s="1" t="s">
        <v>32</v>
      </c>
      <c r="C716" s="4"/>
      <c r="D716" s="8"/>
      <c r="E716" s="4"/>
      <c r="F716" s="8"/>
      <c r="G716" s="4"/>
      <c r="H716" s="8"/>
      <c r="I716" s="4"/>
    </row>
    <row r="717" spans="1:9" x14ac:dyDescent="0.15">
      <c r="A717" s="2">
        <v>1</v>
      </c>
      <c r="B717" s="1" t="s">
        <v>155</v>
      </c>
      <c r="C717" s="4">
        <v>479</v>
      </c>
      <c r="D717" s="8">
        <v>6.15</v>
      </c>
      <c r="E717" s="4">
        <v>393</v>
      </c>
      <c r="F717" s="8">
        <v>9.2200000000000006</v>
      </c>
      <c r="G717" s="4">
        <v>86</v>
      </c>
      <c r="H717" s="8">
        <v>2.4500000000000002</v>
      </c>
      <c r="I717" s="4">
        <v>0</v>
      </c>
    </row>
    <row r="718" spans="1:9" x14ac:dyDescent="0.15">
      <c r="A718" s="2">
        <v>2</v>
      </c>
      <c r="B718" s="1" t="s">
        <v>151</v>
      </c>
      <c r="C718" s="4">
        <v>390</v>
      </c>
      <c r="D718" s="8">
        <v>5.01</v>
      </c>
      <c r="E718" s="4">
        <v>362</v>
      </c>
      <c r="F718" s="8">
        <v>8.49</v>
      </c>
      <c r="G718" s="4">
        <v>28</v>
      </c>
      <c r="H718" s="8">
        <v>0.8</v>
      </c>
      <c r="I718" s="4">
        <v>0</v>
      </c>
    </row>
    <row r="719" spans="1:9" x14ac:dyDescent="0.15">
      <c r="A719" s="2">
        <v>3</v>
      </c>
      <c r="B719" s="1" t="s">
        <v>148</v>
      </c>
      <c r="C719" s="4">
        <v>389</v>
      </c>
      <c r="D719" s="8">
        <v>5</v>
      </c>
      <c r="E719" s="4">
        <v>299</v>
      </c>
      <c r="F719" s="8">
        <v>7.01</v>
      </c>
      <c r="G719" s="4">
        <v>90</v>
      </c>
      <c r="H719" s="8">
        <v>2.56</v>
      </c>
      <c r="I719" s="4">
        <v>0</v>
      </c>
    </row>
    <row r="720" spans="1:9" x14ac:dyDescent="0.15">
      <c r="A720" s="2">
        <v>4</v>
      </c>
      <c r="B720" s="1" t="s">
        <v>152</v>
      </c>
      <c r="C720" s="4">
        <v>330</v>
      </c>
      <c r="D720" s="8">
        <v>4.24</v>
      </c>
      <c r="E720" s="4">
        <v>321</v>
      </c>
      <c r="F720" s="8">
        <v>7.53</v>
      </c>
      <c r="G720" s="4">
        <v>9</v>
      </c>
      <c r="H720" s="8">
        <v>0.26</v>
      </c>
      <c r="I720" s="4">
        <v>0</v>
      </c>
    </row>
    <row r="721" spans="1:9" x14ac:dyDescent="0.15">
      <c r="A721" s="2">
        <v>5</v>
      </c>
      <c r="B721" s="1" t="s">
        <v>157</v>
      </c>
      <c r="C721" s="4">
        <v>246</v>
      </c>
      <c r="D721" s="8">
        <v>3.16</v>
      </c>
      <c r="E721" s="4">
        <v>214</v>
      </c>
      <c r="F721" s="8">
        <v>5.0199999999999996</v>
      </c>
      <c r="G721" s="4">
        <v>32</v>
      </c>
      <c r="H721" s="8">
        <v>0.91</v>
      </c>
      <c r="I721" s="4">
        <v>0</v>
      </c>
    </row>
    <row r="722" spans="1:9" x14ac:dyDescent="0.15">
      <c r="A722" s="2">
        <v>6</v>
      </c>
      <c r="B722" s="1" t="s">
        <v>145</v>
      </c>
      <c r="C722" s="4">
        <v>232</v>
      </c>
      <c r="D722" s="8">
        <v>2.98</v>
      </c>
      <c r="E722" s="4">
        <v>141</v>
      </c>
      <c r="F722" s="8">
        <v>3.31</v>
      </c>
      <c r="G722" s="4">
        <v>91</v>
      </c>
      <c r="H722" s="8">
        <v>2.59</v>
      </c>
      <c r="I722" s="4">
        <v>0</v>
      </c>
    </row>
    <row r="723" spans="1:9" x14ac:dyDescent="0.15">
      <c r="A723" s="2">
        <v>7</v>
      </c>
      <c r="B723" s="1" t="s">
        <v>154</v>
      </c>
      <c r="C723" s="4">
        <v>228</v>
      </c>
      <c r="D723" s="8">
        <v>2.93</v>
      </c>
      <c r="E723" s="4">
        <v>208</v>
      </c>
      <c r="F723" s="8">
        <v>4.88</v>
      </c>
      <c r="G723" s="4">
        <v>20</v>
      </c>
      <c r="H723" s="8">
        <v>0.56999999999999995</v>
      </c>
      <c r="I723" s="4">
        <v>0</v>
      </c>
    </row>
    <row r="724" spans="1:9" x14ac:dyDescent="0.15">
      <c r="A724" s="2">
        <v>8</v>
      </c>
      <c r="B724" s="1" t="s">
        <v>156</v>
      </c>
      <c r="C724" s="4">
        <v>215</v>
      </c>
      <c r="D724" s="8">
        <v>2.76</v>
      </c>
      <c r="E724" s="4">
        <v>177</v>
      </c>
      <c r="F724" s="8">
        <v>4.1500000000000004</v>
      </c>
      <c r="G724" s="4">
        <v>36</v>
      </c>
      <c r="H724" s="8">
        <v>1.02</v>
      </c>
      <c r="I724" s="4">
        <v>2</v>
      </c>
    </row>
    <row r="725" spans="1:9" x14ac:dyDescent="0.15">
      <c r="A725" s="2">
        <v>9</v>
      </c>
      <c r="B725" s="1" t="s">
        <v>150</v>
      </c>
      <c r="C725" s="4">
        <v>203</v>
      </c>
      <c r="D725" s="8">
        <v>2.61</v>
      </c>
      <c r="E725" s="4">
        <v>160</v>
      </c>
      <c r="F725" s="8">
        <v>3.75</v>
      </c>
      <c r="G725" s="4">
        <v>43</v>
      </c>
      <c r="H725" s="8">
        <v>1.22</v>
      </c>
      <c r="I725" s="4">
        <v>0</v>
      </c>
    </row>
    <row r="726" spans="1:9" x14ac:dyDescent="0.15">
      <c r="A726" s="2">
        <v>10</v>
      </c>
      <c r="B726" s="1" t="s">
        <v>173</v>
      </c>
      <c r="C726" s="4">
        <v>145</v>
      </c>
      <c r="D726" s="8">
        <v>1.86</v>
      </c>
      <c r="E726" s="4">
        <v>114</v>
      </c>
      <c r="F726" s="8">
        <v>2.67</v>
      </c>
      <c r="G726" s="4">
        <v>31</v>
      </c>
      <c r="H726" s="8">
        <v>0.88</v>
      </c>
      <c r="I726" s="4">
        <v>0</v>
      </c>
    </row>
    <row r="727" spans="1:9" x14ac:dyDescent="0.15">
      <c r="A727" s="2">
        <v>11</v>
      </c>
      <c r="B727" s="1" t="s">
        <v>143</v>
      </c>
      <c r="C727" s="4">
        <v>142</v>
      </c>
      <c r="D727" s="8">
        <v>1.82</v>
      </c>
      <c r="E727" s="4">
        <v>67</v>
      </c>
      <c r="F727" s="8">
        <v>1.57</v>
      </c>
      <c r="G727" s="4">
        <v>74</v>
      </c>
      <c r="H727" s="8">
        <v>2.11</v>
      </c>
      <c r="I727" s="4">
        <v>1</v>
      </c>
    </row>
    <row r="728" spans="1:9" x14ac:dyDescent="0.15">
      <c r="A728" s="2">
        <v>12</v>
      </c>
      <c r="B728" s="1" t="s">
        <v>140</v>
      </c>
      <c r="C728" s="4">
        <v>137</v>
      </c>
      <c r="D728" s="8">
        <v>1.76</v>
      </c>
      <c r="E728" s="4">
        <v>28</v>
      </c>
      <c r="F728" s="8">
        <v>0.66</v>
      </c>
      <c r="G728" s="4">
        <v>108</v>
      </c>
      <c r="H728" s="8">
        <v>3.07</v>
      </c>
      <c r="I728" s="4">
        <v>1</v>
      </c>
    </row>
    <row r="729" spans="1:9" x14ac:dyDescent="0.15">
      <c r="A729" s="2">
        <v>13</v>
      </c>
      <c r="B729" s="1" t="s">
        <v>153</v>
      </c>
      <c r="C729" s="4">
        <v>130</v>
      </c>
      <c r="D729" s="8">
        <v>1.67</v>
      </c>
      <c r="E729" s="4">
        <v>73</v>
      </c>
      <c r="F729" s="8">
        <v>1.71</v>
      </c>
      <c r="G729" s="4">
        <v>57</v>
      </c>
      <c r="H729" s="8">
        <v>1.62</v>
      </c>
      <c r="I729" s="4">
        <v>0</v>
      </c>
    </row>
    <row r="730" spans="1:9" x14ac:dyDescent="0.15">
      <c r="A730" s="2">
        <v>14</v>
      </c>
      <c r="B730" s="1" t="s">
        <v>160</v>
      </c>
      <c r="C730" s="4">
        <v>127</v>
      </c>
      <c r="D730" s="8">
        <v>1.63</v>
      </c>
      <c r="E730" s="4">
        <v>49</v>
      </c>
      <c r="F730" s="8">
        <v>1.1499999999999999</v>
      </c>
      <c r="G730" s="4">
        <v>78</v>
      </c>
      <c r="H730" s="8">
        <v>2.2200000000000002</v>
      </c>
      <c r="I730" s="4">
        <v>0</v>
      </c>
    </row>
    <row r="731" spans="1:9" x14ac:dyDescent="0.15">
      <c r="A731" s="2">
        <v>15</v>
      </c>
      <c r="B731" s="1" t="s">
        <v>138</v>
      </c>
      <c r="C731" s="4">
        <v>118</v>
      </c>
      <c r="D731" s="8">
        <v>1.52</v>
      </c>
      <c r="E731" s="4">
        <v>12</v>
      </c>
      <c r="F731" s="8">
        <v>0.28000000000000003</v>
      </c>
      <c r="G731" s="4">
        <v>106</v>
      </c>
      <c r="H731" s="8">
        <v>3.02</v>
      </c>
      <c r="I731" s="4">
        <v>0</v>
      </c>
    </row>
    <row r="732" spans="1:9" x14ac:dyDescent="0.15">
      <c r="A732" s="2">
        <v>15</v>
      </c>
      <c r="B732" s="1" t="s">
        <v>141</v>
      </c>
      <c r="C732" s="4">
        <v>118</v>
      </c>
      <c r="D732" s="8">
        <v>1.52</v>
      </c>
      <c r="E732" s="4">
        <v>18</v>
      </c>
      <c r="F732" s="8">
        <v>0.42</v>
      </c>
      <c r="G732" s="4">
        <v>100</v>
      </c>
      <c r="H732" s="8">
        <v>2.85</v>
      </c>
      <c r="I732" s="4">
        <v>0</v>
      </c>
    </row>
    <row r="733" spans="1:9" x14ac:dyDescent="0.15">
      <c r="A733" s="2">
        <v>17</v>
      </c>
      <c r="B733" s="1" t="s">
        <v>174</v>
      </c>
      <c r="C733" s="4">
        <v>113</v>
      </c>
      <c r="D733" s="8">
        <v>1.45</v>
      </c>
      <c r="E733" s="4">
        <v>49</v>
      </c>
      <c r="F733" s="8">
        <v>1.1499999999999999</v>
      </c>
      <c r="G733" s="4">
        <v>64</v>
      </c>
      <c r="H733" s="8">
        <v>1.82</v>
      </c>
      <c r="I733" s="4">
        <v>0</v>
      </c>
    </row>
    <row r="734" spans="1:9" x14ac:dyDescent="0.15">
      <c r="A734" s="2">
        <v>18</v>
      </c>
      <c r="B734" s="1" t="s">
        <v>166</v>
      </c>
      <c r="C734" s="4">
        <v>111</v>
      </c>
      <c r="D734" s="8">
        <v>1.43</v>
      </c>
      <c r="E734" s="4">
        <v>69</v>
      </c>
      <c r="F734" s="8">
        <v>1.62</v>
      </c>
      <c r="G734" s="4">
        <v>42</v>
      </c>
      <c r="H734" s="8">
        <v>1.2</v>
      </c>
      <c r="I734" s="4">
        <v>0</v>
      </c>
    </row>
    <row r="735" spans="1:9" x14ac:dyDescent="0.15">
      <c r="A735" s="2">
        <v>19</v>
      </c>
      <c r="B735" s="1" t="s">
        <v>161</v>
      </c>
      <c r="C735" s="4">
        <v>109</v>
      </c>
      <c r="D735" s="8">
        <v>1.4</v>
      </c>
      <c r="E735" s="4">
        <v>34</v>
      </c>
      <c r="F735" s="8">
        <v>0.8</v>
      </c>
      <c r="G735" s="4">
        <v>75</v>
      </c>
      <c r="H735" s="8">
        <v>2.13</v>
      </c>
      <c r="I735" s="4">
        <v>0</v>
      </c>
    </row>
    <row r="736" spans="1:9" x14ac:dyDescent="0.15">
      <c r="A736" s="2">
        <v>20</v>
      </c>
      <c r="B736" s="1" t="s">
        <v>144</v>
      </c>
      <c r="C736" s="4">
        <v>107</v>
      </c>
      <c r="D736" s="8">
        <v>1.37</v>
      </c>
      <c r="E736" s="4">
        <v>40</v>
      </c>
      <c r="F736" s="8">
        <v>0.94</v>
      </c>
      <c r="G736" s="4">
        <v>67</v>
      </c>
      <c r="H736" s="8">
        <v>1.91</v>
      </c>
      <c r="I736" s="4">
        <v>0</v>
      </c>
    </row>
    <row r="737" spans="1:9" x14ac:dyDescent="0.15">
      <c r="A737" s="1"/>
      <c r="C737" s="4"/>
      <c r="D737" s="8"/>
      <c r="E737" s="4"/>
      <c r="F737" s="8"/>
      <c r="G737" s="4"/>
      <c r="H737" s="8"/>
      <c r="I737" s="4"/>
    </row>
    <row r="738" spans="1:9" x14ac:dyDescent="0.15">
      <c r="A738" s="1" t="s">
        <v>33</v>
      </c>
      <c r="C738" s="4"/>
      <c r="D738" s="8"/>
      <c r="E738" s="4"/>
      <c r="F738" s="8"/>
      <c r="G738" s="4"/>
      <c r="H738" s="8"/>
      <c r="I738" s="4"/>
    </row>
    <row r="739" spans="1:9" x14ac:dyDescent="0.15">
      <c r="A739" s="2">
        <v>1</v>
      </c>
      <c r="B739" s="1" t="s">
        <v>148</v>
      </c>
      <c r="C739" s="4">
        <v>452</v>
      </c>
      <c r="D739" s="8">
        <v>8.17</v>
      </c>
      <c r="E739" s="4">
        <v>372</v>
      </c>
      <c r="F739" s="8">
        <v>13.48</v>
      </c>
      <c r="G739" s="4">
        <v>79</v>
      </c>
      <c r="H739" s="8">
        <v>2.86</v>
      </c>
      <c r="I739" s="4">
        <v>1</v>
      </c>
    </row>
    <row r="740" spans="1:9" x14ac:dyDescent="0.15">
      <c r="A740" s="2">
        <v>2</v>
      </c>
      <c r="B740" s="1" t="s">
        <v>155</v>
      </c>
      <c r="C740" s="4">
        <v>243</v>
      </c>
      <c r="D740" s="8">
        <v>4.3899999999999997</v>
      </c>
      <c r="E740" s="4">
        <v>205</v>
      </c>
      <c r="F740" s="8">
        <v>7.43</v>
      </c>
      <c r="G740" s="4">
        <v>38</v>
      </c>
      <c r="H740" s="8">
        <v>1.37</v>
      </c>
      <c r="I740" s="4">
        <v>0</v>
      </c>
    </row>
    <row r="741" spans="1:9" x14ac:dyDescent="0.15">
      <c r="A741" s="2">
        <v>3</v>
      </c>
      <c r="B741" s="1" t="s">
        <v>151</v>
      </c>
      <c r="C741" s="4">
        <v>196</v>
      </c>
      <c r="D741" s="8">
        <v>3.54</v>
      </c>
      <c r="E741" s="4">
        <v>176</v>
      </c>
      <c r="F741" s="8">
        <v>6.38</v>
      </c>
      <c r="G741" s="4">
        <v>19</v>
      </c>
      <c r="H741" s="8">
        <v>0.69</v>
      </c>
      <c r="I741" s="4">
        <v>1</v>
      </c>
    </row>
    <row r="742" spans="1:9" x14ac:dyDescent="0.15">
      <c r="A742" s="2">
        <v>4</v>
      </c>
      <c r="B742" s="1" t="s">
        <v>152</v>
      </c>
      <c r="C742" s="4">
        <v>180</v>
      </c>
      <c r="D742" s="8">
        <v>3.25</v>
      </c>
      <c r="E742" s="4">
        <v>172</v>
      </c>
      <c r="F742" s="8">
        <v>6.23</v>
      </c>
      <c r="G742" s="4">
        <v>8</v>
      </c>
      <c r="H742" s="8">
        <v>0.28999999999999998</v>
      </c>
      <c r="I742" s="4">
        <v>0</v>
      </c>
    </row>
    <row r="743" spans="1:9" x14ac:dyDescent="0.15">
      <c r="A743" s="2">
        <v>5</v>
      </c>
      <c r="B743" s="1" t="s">
        <v>150</v>
      </c>
      <c r="C743" s="4">
        <v>161</v>
      </c>
      <c r="D743" s="8">
        <v>2.91</v>
      </c>
      <c r="E743" s="4">
        <v>124</v>
      </c>
      <c r="F743" s="8">
        <v>4.49</v>
      </c>
      <c r="G743" s="4">
        <v>37</v>
      </c>
      <c r="H743" s="8">
        <v>1.34</v>
      </c>
      <c r="I743" s="4">
        <v>0</v>
      </c>
    </row>
    <row r="744" spans="1:9" x14ac:dyDescent="0.15">
      <c r="A744" s="2">
        <v>6</v>
      </c>
      <c r="B744" s="1" t="s">
        <v>154</v>
      </c>
      <c r="C744" s="4">
        <v>160</v>
      </c>
      <c r="D744" s="8">
        <v>2.89</v>
      </c>
      <c r="E744" s="4">
        <v>145</v>
      </c>
      <c r="F744" s="8">
        <v>5.26</v>
      </c>
      <c r="G744" s="4">
        <v>15</v>
      </c>
      <c r="H744" s="8">
        <v>0.54</v>
      </c>
      <c r="I744" s="4">
        <v>0</v>
      </c>
    </row>
    <row r="745" spans="1:9" x14ac:dyDescent="0.15">
      <c r="A745" s="2">
        <v>7</v>
      </c>
      <c r="B745" s="1" t="s">
        <v>156</v>
      </c>
      <c r="C745" s="4">
        <v>135</v>
      </c>
      <c r="D745" s="8">
        <v>2.44</v>
      </c>
      <c r="E745" s="4">
        <v>112</v>
      </c>
      <c r="F745" s="8">
        <v>4.0599999999999996</v>
      </c>
      <c r="G745" s="4">
        <v>22</v>
      </c>
      <c r="H745" s="8">
        <v>0.8</v>
      </c>
      <c r="I745" s="4">
        <v>1</v>
      </c>
    </row>
    <row r="746" spans="1:9" x14ac:dyDescent="0.15">
      <c r="A746" s="2">
        <v>8</v>
      </c>
      <c r="B746" s="1" t="s">
        <v>157</v>
      </c>
      <c r="C746" s="4">
        <v>129</v>
      </c>
      <c r="D746" s="8">
        <v>2.33</v>
      </c>
      <c r="E746" s="4">
        <v>114</v>
      </c>
      <c r="F746" s="8">
        <v>4.13</v>
      </c>
      <c r="G746" s="4">
        <v>15</v>
      </c>
      <c r="H746" s="8">
        <v>0.54</v>
      </c>
      <c r="I746" s="4">
        <v>0</v>
      </c>
    </row>
    <row r="747" spans="1:9" x14ac:dyDescent="0.15">
      <c r="A747" s="2">
        <v>9</v>
      </c>
      <c r="B747" s="1" t="s">
        <v>145</v>
      </c>
      <c r="C747" s="4">
        <v>119</v>
      </c>
      <c r="D747" s="8">
        <v>2.15</v>
      </c>
      <c r="E747" s="4">
        <v>66</v>
      </c>
      <c r="F747" s="8">
        <v>2.39</v>
      </c>
      <c r="G747" s="4">
        <v>53</v>
      </c>
      <c r="H747" s="8">
        <v>1.92</v>
      </c>
      <c r="I747" s="4">
        <v>0</v>
      </c>
    </row>
    <row r="748" spans="1:9" x14ac:dyDescent="0.15">
      <c r="A748" s="2">
        <v>10</v>
      </c>
      <c r="B748" s="1" t="s">
        <v>153</v>
      </c>
      <c r="C748" s="4">
        <v>111</v>
      </c>
      <c r="D748" s="8">
        <v>2.0099999999999998</v>
      </c>
      <c r="E748" s="4">
        <v>73</v>
      </c>
      <c r="F748" s="8">
        <v>2.65</v>
      </c>
      <c r="G748" s="4">
        <v>38</v>
      </c>
      <c r="H748" s="8">
        <v>1.37</v>
      </c>
      <c r="I748" s="4">
        <v>0</v>
      </c>
    </row>
    <row r="749" spans="1:9" x14ac:dyDescent="0.15">
      <c r="A749" s="2">
        <v>11</v>
      </c>
      <c r="B749" s="1" t="s">
        <v>141</v>
      </c>
      <c r="C749" s="4">
        <v>100</v>
      </c>
      <c r="D749" s="8">
        <v>1.81</v>
      </c>
      <c r="E749" s="4">
        <v>10</v>
      </c>
      <c r="F749" s="8">
        <v>0.36</v>
      </c>
      <c r="G749" s="4">
        <v>90</v>
      </c>
      <c r="H749" s="8">
        <v>3.25</v>
      </c>
      <c r="I749" s="4">
        <v>0</v>
      </c>
    </row>
    <row r="750" spans="1:9" x14ac:dyDescent="0.15">
      <c r="A750" s="2">
        <v>11</v>
      </c>
      <c r="B750" s="1" t="s">
        <v>144</v>
      </c>
      <c r="C750" s="4">
        <v>100</v>
      </c>
      <c r="D750" s="8">
        <v>1.81</v>
      </c>
      <c r="E750" s="4">
        <v>35</v>
      </c>
      <c r="F750" s="8">
        <v>1.27</v>
      </c>
      <c r="G750" s="4">
        <v>65</v>
      </c>
      <c r="H750" s="8">
        <v>2.35</v>
      </c>
      <c r="I750" s="4">
        <v>0</v>
      </c>
    </row>
    <row r="751" spans="1:9" x14ac:dyDescent="0.15">
      <c r="A751" s="2">
        <v>13</v>
      </c>
      <c r="B751" s="1" t="s">
        <v>147</v>
      </c>
      <c r="C751" s="4">
        <v>96</v>
      </c>
      <c r="D751" s="8">
        <v>1.73</v>
      </c>
      <c r="E751" s="4">
        <v>21</v>
      </c>
      <c r="F751" s="8">
        <v>0.76</v>
      </c>
      <c r="G751" s="4">
        <v>75</v>
      </c>
      <c r="H751" s="8">
        <v>2.71</v>
      </c>
      <c r="I751" s="4">
        <v>0</v>
      </c>
    </row>
    <row r="752" spans="1:9" x14ac:dyDescent="0.15">
      <c r="A752" s="2">
        <v>14</v>
      </c>
      <c r="B752" s="1" t="s">
        <v>139</v>
      </c>
      <c r="C752" s="4">
        <v>87</v>
      </c>
      <c r="D752" s="8">
        <v>1.57</v>
      </c>
      <c r="E752" s="4">
        <v>7</v>
      </c>
      <c r="F752" s="8">
        <v>0.25</v>
      </c>
      <c r="G752" s="4">
        <v>80</v>
      </c>
      <c r="H752" s="8">
        <v>2.89</v>
      </c>
      <c r="I752" s="4">
        <v>0</v>
      </c>
    </row>
    <row r="753" spans="1:9" x14ac:dyDescent="0.15">
      <c r="A753" s="2">
        <v>15</v>
      </c>
      <c r="B753" s="1" t="s">
        <v>143</v>
      </c>
      <c r="C753" s="4">
        <v>86</v>
      </c>
      <c r="D753" s="8">
        <v>1.55</v>
      </c>
      <c r="E753" s="4">
        <v>47</v>
      </c>
      <c r="F753" s="8">
        <v>1.7</v>
      </c>
      <c r="G753" s="4">
        <v>39</v>
      </c>
      <c r="H753" s="8">
        <v>1.41</v>
      </c>
      <c r="I753" s="4">
        <v>0</v>
      </c>
    </row>
    <row r="754" spans="1:9" x14ac:dyDescent="0.15">
      <c r="A754" s="2">
        <v>16</v>
      </c>
      <c r="B754" s="1" t="s">
        <v>140</v>
      </c>
      <c r="C754" s="4">
        <v>85</v>
      </c>
      <c r="D754" s="8">
        <v>1.54</v>
      </c>
      <c r="E754" s="4">
        <v>9</v>
      </c>
      <c r="F754" s="8">
        <v>0.33</v>
      </c>
      <c r="G754" s="4">
        <v>76</v>
      </c>
      <c r="H754" s="8">
        <v>2.75</v>
      </c>
      <c r="I754" s="4">
        <v>0</v>
      </c>
    </row>
    <row r="755" spans="1:9" x14ac:dyDescent="0.15">
      <c r="A755" s="2">
        <v>17</v>
      </c>
      <c r="B755" s="1" t="s">
        <v>174</v>
      </c>
      <c r="C755" s="4">
        <v>83</v>
      </c>
      <c r="D755" s="8">
        <v>1.5</v>
      </c>
      <c r="E755" s="4">
        <v>20</v>
      </c>
      <c r="F755" s="8">
        <v>0.72</v>
      </c>
      <c r="G755" s="4">
        <v>63</v>
      </c>
      <c r="H755" s="8">
        <v>2.2799999999999998</v>
      </c>
      <c r="I755" s="4">
        <v>0</v>
      </c>
    </row>
    <row r="756" spans="1:9" x14ac:dyDescent="0.15">
      <c r="A756" s="2">
        <v>17</v>
      </c>
      <c r="B756" s="1" t="s">
        <v>149</v>
      </c>
      <c r="C756" s="4">
        <v>83</v>
      </c>
      <c r="D756" s="8">
        <v>1.5</v>
      </c>
      <c r="E756" s="4">
        <v>4</v>
      </c>
      <c r="F756" s="8">
        <v>0.14000000000000001</v>
      </c>
      <c r="G756" s="4">
        <v>79</v>
      </c>
      <c r="H756" s="8">
        <v>2.86</v>
      </c>
      <c r="I756" s="4">
        <v>0</v>
      </c>
    </row>
    <row r="757" spans="1:9" x14ac:dyDescent="0.15">
      <c r="A757" s="2">
        <v>19</v>
      </c>
      <c r="B757" s="1" t="s">
        <v>138</v>
      </c>
      <c r="C757" s="4">
        <v>81</v>
      </c>
      <c r="D757" s="8">
        <v>1.46</v>
      </c>
      <c r="E757" s="4">
        <v>10</v>
      </c>
      <c r="F757" s="8">
        <v>0.36</v>
      </c>
      <c r="G757" s="4">
        <v>71</v>
      </c>
      <c r="H757" s="8">
        <v>2.57</v>
      </c>
      <c r="I757" s="4">
        <v>0</v>
      </c>
    </row>
    <row r="758" spans="1:9" x14ac:dyDescent="0.15">
      <c r="A758" s="2">
        <v>20</v>
      </c>
      <c r="B758" s="1" t="s">
        <v>146</v>
      </c>
      <c r="C758" s="4">
        <v>74</v>
      </c>
      <c r="D758" s="8">
        <v>1.34</v>
      </c>
      <c r="E758" s="4">
        <v>18</v>
      </c>
      <c r="F758" s="8">
        <v>0.65</v>
      </c>
      <c r="G758" s="4">
        <v>56</v>
      </c>
      <c r="H758" s="8">
        <v>2.02</v>
      </c>
      <c r="I758" s="4">
        <v>0</v>
      </c>
    </row>
    <row r="759" spans="1:9" x14ac:dyDescent="0.15">
      <c r="A759" s="2">
        <v>20</v>
      </c>
      <c r="B759" s="1" t="s">
        <v>181</v>
      </c>
      <c r="C759" s="4">
        <v>74</v>
      </c>
      <c r="D759" s="8">
        <v>1.34</v>
      </c>
      <c r="E759" s="4">
        <v>35</v>
      </c>
      <c r="F759" s="8">
        <v>1.27</v>
      </c>
      <c r="G759" s="4">
        <v>39</v>
      </c>
      <c r="H759" s="8">
        <v>1.41</v>
      </c>
      <c r="I759" s="4">
        <v>0</v>
      </c>
    </row>
    <row r="760" spans="1:9" x14ac:dyDescent="0.15">
      <c r="A760" s="1"/>
      <c r="C760" s="4"/>
      <c r="D760" s="8"/>
      <c r="E760" s="4"/>
      <c r="F760" s="8"/>
      <c r="G760" s="4"/>
      <c r="H760" s="8"/>
      <c r="I760" s="4"/>
    </row>
    <row r="761" spans="1:9" x14ac:dyDescent="0.15">
      <c r="A761" s="1" t="s">
        <v>34</v>
      </c>
      <c r="C761" s="4"/>
      <c r="D761" s="8"/>
      <c r="E761" s="4"/>
      <c r="F761" s="8"/>
      <c r="G761" s="4"/>
      <c r="H761" s="8"/>
      <c r="I761" s="4"/>
    </row>
    <row r="762" spans="1:9" x14ac:dyDescent="0.15">
      <c r="A762" s="2">
        <v>1</v>
      </c>
      <c r="B762" s="1" t="s">
        <v>148</v>
      </c>
      <c r="C762" s="4">
        <v>311</v>
      </c>
      <c r="D762" s="8">
        <v>7.19</v>
      </c>
      <c r="E762" s="4">
        <v>234</v>
      </c>
      <c r="F762" s="8">
        <v>10.36</v>
      </c>
      <c r="G762" s="4">
        <v>77</v>
      </c>
      <c r="H762" s="8">
        <v>3.73</v>
      </c>
      <c r="I762" s="4">
        <v>0</v>
      </c>
    </row>
    <row r="763" spans="1:9" x14ac:dyDescent="0.15">
      <c r="A763" s="2">
        <v>2</v>
      </c>
      <c r="B763" s="1" t="s">
        <v>145</v>
      </c>
      <c r="C763" s="4">
        <v>187</v>
      </c>
      <c r="D763" s="8">
        <v>4.32</v>
      </c>
      <c r="E763" s="4">
        <v>114</v>
      </c>
      <c r="F763" s="8">
        <v>5.05</v>
      </c>
      <c r="G763" s="4">
        <v>73</v>
      </c>
      <c r="H763" s="8">
        <v>3.54</v>
      </c>
      <c r="I763" s="4">
        <v>0</v>
      </c>
    </row>
    <row r="764" spans="1:9" x14ac:dyDescent="0.15">
      <c r="A764" s="2">
        <v>3</v>
      </c>
      <c r="B764" s="1" t="s">
        <v>150</v>
      </c>
      <c r="C764" s="4">
        <v>185</v>
      </c>
      <c r="D764" s="8">
        <v>4.28</v>
      </c>
      <c r="E764" s="4">
        <v>150</v>
      </c>
      <c r="F764" s="8">
        <v>6.64</v>
      </c>
      <c r="G764" s="4">
        <v>35</v>
      </c>
      <c r="H764" s="8">
        <v>1.7</v>
      </c>
      <c r="I764" s="4">
        <v>0</v>
      </c>
    </row>
    <row r="765" spans="1:9" x14ac:dyDescent="0.15">
      <c r="A765" s="2">
        <v>4</v>
      </c>
      <c r="B765" s="1" t="s">
        <v>155</v>
      </c>
      <c r="C765" s="4">
        <v>159</v>
      </c>
      <c r="D765" s="8">
        <v>3.68</v>
      </c>
      <c r="E765" s="4">
        <v>129</v>
      </c>
      <c r="F765" s="8">
        <v>5.71</v>
      </c>
      <c r="G765" s="4">
        <v>30</v>
      </c>
      <c r="H765" s="8">
        <v>1.45</v>
      </c>
      <c r="I765" s="4">
        <v>0</v>
      </c>
    </row>
    <row r="766" spans="1:9" x14ac:dyDescent="0.15">
      <c r="A766" s="2">
        <v>5</v>
      </c>
      <c r="B766" s="1" t="s">
        <v>142</v>
      </c>
      <c r="C766" s="4">
        <v>149</v>
      </c>
      <c r="D766" s="8">
        <v>3.45</v>
      </c>
      <c r="E766" s="4">
        <v>72</v>
      </c>
      <c r="F766" s="8">
        <v>3.19</v>
      </c>
      <c r="G766" s="4">
        <v>77</v>
      </c>
      <c r="H766" s="8">
        <v>3.73</v>
      </c>
      <c r="I766" s="4">
        <v>0</v>
      </c>
    </row>
    <row r="767" spans="1:9" x14ac:dyDescent="0.15">
      <c r="A767" s="2">
        <v>6</v>
      </c>
      <c r="B767" s="1" t="s">
        <v>156</v>
      </c>
      <c r="C767" s="4">
        <v>141</v>
      </c>
      <c r="D767" s="8">
        <v>3.26</v>
      </c>
      <c r="E767" s="4">
        <v>115</v>
      </c>
      <c r="F767" s="8">
        <v>5.09</v>
      </c>
      <c r="G767" s="4">
        <v>26</v>
      </c>
      <c r="H767" s="8">
        <v>1.26</v>
      </c>
      <c r="I767" s="4">
        <v>0</v>
      </c>
    </row>
    <row r="768" spans="1:9" x14ac:dyDescent="0.15">
      <c r="A768" s="2">
        <v>7</v>
      </c>
      <c r="B768" s="1" t="s">
        <v>170</v>
      </c>
      <c r="C768" s="4">
        <v>126</v>
      </c>
      <c r="D768" s="8">
        <v>2.91</v>
      </c>
      <c r="E768" s="4">
        <v>109</v>
      </c>
      <c r="F768" s="8">
        <v>4.83</v>
      </c>
      <c r="G768" s="4">
        <v>17</v>
      </c>
      <c r="H768" s="8">
        <v>0.82</v>
      </c>
      <c r="I768" s="4">
        <v>0</v>
      </c>
    </row>
    <row r="769" spans="1:9" x14ac:dyDescent="0.15">
      <c r="A769" s="2">
        <v>8</v>
      </c>
      <c r="B769" s="1" t="s">
        <v>143</v>
      </c>
      <c r="C769" s="4">
        <v>113</v>
      </c>
      <c r="D769" s="8">
        <v>2.61</v>
      </c>
      <c r="E769" s="4">
        <v>65</v>
      </c>
      <c r="F769" s="8">
        <v>2.88</v>
      </c>
      <c r="G769" s="4">
        <v>48</v>
      </c>
      <c r="H769" s="8">
        <v>2.33</v>
      </c>
      <c r="I769" s="4">
        <v>0</v>
      </c>
    </row>
    <row r="770" spans="1:9" x14ac:dyDescent="0.15">
      <c r="A770" s="2">
        <v>8</v>
      </c>
      <c r="B770" s="1" t="s">
        <v>152</v>
      </c>
      <c r="C770" s="4">
        <v>113</v>
      </c>
      <c r="D770" s="8">
        <v>2.61</v>
      </c>
      <c r="E770" s="4">
        <v>103</v>
      </c>
      <c r="F770" s="8">
        <v>4.5599999999999996</v>
      </c>
      <c r="G770" s="4">
        <v>10</v>
      </c>
      <c r="H770" s="8">
        <v>0.48</v>
      </c>
      <c r="I770" s="4">
        <v>0</v>
      </c>
    </row>
    <row r="771" spans="1:9" x14ac:dyDescent="0.15">
      <c r="A771" s="2">
        <v>8</v>
      </c>
      <c r="B771" s="1" t="s">
        <v>157</v>
      </c>
      <c r="C771" s="4">
        <v>113</v>
      </c>
      <c r="D771" s="8">
        <v>2.61</v>
      </c>
      <c r="E771" s="4">
        <v>97</v>
      </c>
      <c r="F771" s="8">
        <v>4.29</v>
      </c>
      <c r="G771" s="4">
        <v>16</v>
      </c>
      <c r="H771" s="8">
        <v>0.78</v>
      </c>
      <c r="I771" s="4">
        <v>0</v>
      </c>
    </row>
    <row r="772" spans="1:9" x14ac:dyDescent="0.15">
      <c r="A772" s="2">
        <v>11</v>
      </c>
      <c r="B772" s="1" t="s">
        <v>151</v>
      </c>
      <c r="C772" s="4">
        <v>104</v>
      </c>
      <c r="D772" s="8">
        <v>2.4</v>
      </c>
      <c r="E772" s="4">
        <v>86</v>
      </c>
      <c r="F772" s="8">
        <v>3.81</v>
      </c>
      <c r="G772" s="4">
        <v>18</v>
      </c>
      <c r="H772" s="8">
        <v>0.87</v>
      </c>
      <c r="I772" s="4">
        <v>0</v>
      </c>
    </row>
    <row r="773" spans="1:9" x14ac:dyDescent="0.15">
      <c r="A773" s="2">
        <v>12</v>
      </c>
      <c r="B773" s="1" t="s">
        <v>166</v>
      </c>
      <c r="C773" s="4">
        <v>99</v>
      </c>
      <c r="D773" s="8">
        <v>2.29</v>
      </c>
      <c r="E773" s="4">
        <v>49</v>
      </c>
      <c r="F773" s="8">
        <v>2.17</v>
      </c>
      <c r="G773" s="4">
        <v>50</v>
      </c>
      <c r="H773" s="8">
        <v>2.42</v>
      </c>
      <c r="I773" s="4">
        <v>0</v>
      </c>
    </row>
    <row r="774" spans="1:9" x14ac:dyDescent="0.15">
      <c r="A774" s="2">
        <v>13</v>
      </c>
      <c r="B774" s="1" t="s">
        <v>165</v>
      </c>
      <c r="C774" s="4">
        <v>96</v>
      </c>
      <c r="D774" s="8">
        <v>2.2200000000000002</v>
      </c>
      <c r="E774" s="4">
        <v>56</v>
      </c>
      <c r="F774" s="8">
        <v>2.48</v>
      </c>
      <c r="G774" s="4">
        <v>40</v>
      </c>
      <c r="H774" s="8">
        <v>1.94</v>
      </c>
      <c r="I774" s="4">
        <v>0</v>
      </c>
    </row>
    <row r="775" spans="1:9" x14ac:dyDescent="0.15">
      <c r="A775" s="2">
        <v>14</v>
      </c>
      <c r="B775" s="1" t="s">
        <v>149</v>
      </c>
      <c r="C775" s="4">
        <v>95</v>
      </c>
      <c r="D775" s="8">
        <v>2.2000000000000002</v>
      </c>
      <c r="E775" s="4">
        <v>4</v>
      </c>
      <c r="F775" s="8">
        <v>0.18</v>
      </c>
      <c r="G775" s="4">
        <v>91</v>
      </c>
      <c r="H775" s="8">
        <v>4.41</v>
      </c>
      <c r="I775" s="4">
        <v>0</v>
      </c>
    </row>
    <row r="776" spans="1:9" x14ac:dyDescent="0.15">
      <c r="A776" s="2">
        <v>15</v>
      </c>
      <c r="B776" s="1" t="s">
        <v>147</v>
      </c>
      <c r="C776" s="4">
        <v>83</v>
      </c>
      <c r="D776" s="8">
        <v>1.92</v>
      </c>
      <c r="E776" s="4">
        <v>30</v>
      </c>
      <c r="F776" s="8">
        <v>1.33</v>
      </c>
      <c r="G776" s="4">
        <v>53</v>
      </c>
      <c r="H776" s="8">
        <v>2.57</v>
      </c>
      <c r="I776" s="4">
        <v>0</v>
      </c>
    </row>
    <row r="777" spans="1:9" x14ac:dyDescent="0.15">
      <c r="A777" s="2">
        <v>16</v>
      </c>
      <c r="B777" s="1" t="s">
        <v>154</v>
      </c>
      <c r="C777" s="4">
        <v>66</v>
      </c>
      <c r="D777" s="8">
        <v>1.53</v>
      </c>
      <c r="E777" s="4">
        <v>58</v>
      </c>
      <c r="F777" s="8">
        <v>2.57</v>
      </c>
      <c r="G777" s="4">
        <v>8</v>
      </c>
      <c r="H777" s="8">
        <v>0.39</v>
      </c>
      <c r="I777" s="4">
        <v>0</v>
      </c>
    </row>
    <row r="778" spans="1:9" x14ac:dyDescent="0.15">
      <c r="A778" s="2">
        <v>17</v>
      </c>
      <c r="B778" s="1" t="s">
        <v>185</v>
      </c>
      <c r="C778" s="4">
        <v>65</v>
      </c>
      <c r="D778" s="8">
        <v>1.5</v>
      </c>
      <c r="E778" s="4">
        <v>41</v>
      </c>
      <c r="F778" s="8">
        <v>1.81</v>
      </c>
      <c r="G778" s="4">
        <v>24</v>
      </c>
      <c r="H778" s="8">
        <v>1.1599999999999999</v>
      </c>
      <c r="I778" s="4">
        <v>0</v>
      </c>
    </row>
    <row r="779" spans="1:9" x14ac:dyDescent="0.15">
      <c r="A779" s="2">
        <v>18</v>
      </c>
      <c r="B779" s="1" t="s">
        <v>146</v>
      </c>
      <c r="C779" s="4">
        <v>56</v>
      </c>
      <c r="D779" s="8">
        <v>1.29</v>
      </c>
      <c r="E779" s="4">
        <v>6</v>
      </c>
      <c r="F779" s="8">
        <v>0.27</v>
      </c>
      <c r="G779" s="4">
        <v>50</v>
      </c>
      <c r="H779" s="8">
        <v>2.42</v>
      </c>
      <c r="I779" s="4">
        <v>0</v>
      </c>
    </row>
    <row r="780" spans="1:9" x14ac:dyDescent="0.15">
      <c r="A780" s="2">
        <v>19</v>
      </c>
      <c r="B780" s="1" t="s">
        <v>153</v>
      </c>
      <c r="C780" s="4">
        <v>55</v>
      </c>
      <c r="D780" s="8">
        <v>1.27</v>
      </c>
      <c r="E780" s="4">
        <v>28</v>
      </c>
      <c r="F780" s="8">
        <v>1.24</v>
      </c>
      <c r="G780" s="4">
        <v>27</v>
      </c>
      <c r="H780" s="8">
        <v>1.31</v>
      </c>
      <c r="I780" s="4">
        <v>0</v>
      </c>
    </row>
    <row r="781" spans="1:9" x14ac:dyDescent="0.15">
      <c r="A781" s="2">
        <v>20</v>
      </c>
      <c r="B781" s="1" t="s">
        <v>169</v>
      </c>
      <c r="C781" s="4">
        <v>50</v>
      </c>
      <c r="D781" s="8">
        <v>1.1599999999999999</v>
      </c>
      <c r="E781" s="4">
        <v>4</v>
      </c>
      <c r="F781" s="8">
        <v>0.18</v>
      </c>
      <c r="G781" s="4">
        <v>46</v>
      </c>
      <c r="H781" s="8">
        <v>2.23</v>
      </c>
      <c r="I781" s="4">
        <v>0</v>
      </c>
    </row>
    <row r="782" spans="1:9" x14ac:dyDescent="0.15">
      <c r="A782" s="1"/>
      <c r="C782" s="4"/>
      <c r="D782" s="8"/>
      <c r="E782" s="4"/>
      <c r="F782" s="8"/>
      <c r="G782" s="4"/>
      <c r="H782" s="8"/>
      <c r="I782" s="4"/>
    </row>
    <row r="783" spans="1:9" x14ac:dyDescent="0.15">
      <c r="A783" s="1" t="s">
        <v>35</v>
      </c>
      <c r="C783" s="4"/>
      <c r="D783" s="8"/>
      <c r="E783" s="4"/>
      <c r="F783" s="8"/>
      <c r="G783" s="4"/>
      <c r="H783" s="8"/>
      <c r="I783" s="4"/>
    </row>
    <row r="784" spans="1:9" x14ac:dyDescent="0.15">
      <c r="A784" s="2">
        <v>1</v>
      </c>
      <c r="B784" s="1" t="s">
        <v>148</v>
      </c>
      <c r="C784" s="4">
        <v>466</v>
      </c>
      <c r="D784" s="8">
        <v>6.55</v>
      </c>
      <c r="E784" s="4">
        <v>357</v>
      </c>
      <c r="F784" s="8">
        <v>10.57</v>
      </c>
      <c r="G784" s="4">
        <v>109</v>
      </c>
      <c r="H784" s="8">
        <v>2.92</v>
      </c>
      <c r="I784" s="4">
        <v>0</v>
      </c>
    </row>
    <row r="785" spans="1:9" x14ac:dyDescent="0.15">
      <c r="A785" s="2">
        <v>2</v>
      </c>
      <c r="B785" s="1" t="s">
        <v>155</v>
      </c>
      <c r="C785" s="4">
        <v>379</v>
      </c>
      <c r="D785" s="8">
        <v>5.33</v>
      </c>
      <c r="E785" s="4">
        <v>304</v>
      </c>
      <c r="F785" s="8">
        <v>9</v>
      </c>
      <c r="G785" s="4">
        <v>75</v>
      </c>
      <c r="H785" s="8">
        <v>2.0099999999999998</v>
      </c>
      <c r="I785" s="4">
        <v>0</v>
      </c>
    </row>
    <row r="786" spans="1:9" x14ac:dyDescent="0.15">
      <c r="A786" s="2">
        <v>3</v>
      </c>
      <c r="B786" s="1" t="s">
        <v>157</v>
      </c>
      <c r="C786" s="4">
        <v>237</v>
      </c>
      <c r="D786" s="8">
        <v>3.33</v>
      </c>
      <c r="E786" s="4">
        <v>213</v>
      </c>
      <c r="F786" s="8">
        <v>6.3</v>
      </c>
      <c r="G786" s="4">
        <v>24</v>
      </c>
      <c r="H786" s="8">
        <v>0.64</v>
      </c>
      <c r="I786" s="4">
        <v>0</v>
      </c>
    </row>
    <row r="787" spans="1:9" x14ac:dyDescent="0.15">
      <c r="A787" s="2">
        <v>4</v>
      </c>
      <c r="B787" s="1" t="s">
        <v>150</v>
      </c>
      <c r="C787" s="4">
        <v>231</v>
      </c>
      <c r="D787" s="8">
        <v>3.25</v>
      </c>
      <c r="E787" s="4">
        <v>171</v>
      </c>
      <c r="F787" s="8">
        <v>5.0599999999999996</v>
      </c>
      <c r="G787" s="4">
        <v>60</v>
      </c>
      <c r="H787" s="8">
        <v>1.61</v>
      </c>
      <c r="I787" s="4">
        <v>0</v>
      </c>
    </row>
    <row r="788" spans="1:9" x14ac:dyDescent="0.15">
      <c r="A788" s="2">
        <v>5</v>
      </c>
      <c r="B788" s="1" t="s">
        <v>156</v>
      </c>
      <c r="C788" s="4">
        <v>210</v>
      </c>
      <c r="D788" s="8">
        <v>2.95</v>
      </c>
      <c r="E788" s="4">
        <v>145</v>
      </c>
      <c r="F788" s="8">
        <v>4.29</v>
      </c>
      <c r="G788" s="4">
        <v>64</v>
      </c>
      <c r="H788" s="8">
        <v>1.71</v>
      </c>
      <c r="I788" s="4">
        <v>1</v>
      </c>
    </row>
    <row r="789" spans="1:9" x14ac:dyDescent="0.15">
      <c r="A789" s="2">
        <v>6</v>
      </c>
      <c r="B789" s="1" t="s">
        <v>151</v>
      </c>
      <c r="C789" s="4">
        <v>206</v>
      </c>
      <c r="D789" s="8">
        <v>2.89</v>
      </c>
      <c r="E789" s="4">
        <v>171</v>
      </c>
      <c r="F789" s="8">
        <v>5.0599999999999996</v>
      </c>
      <c r="G789" s="4">
        <v>35</v>
      </c>
      <c r="H789" s="8">
        <v>0.94</v>
      </c>
      <c r="I789" s="4">
        <v>0</v>
      </c>
    </row>
    <row r="790" spans="1:9" x14ac:dyDescent="0.15">
      <c r="A790" s="2">
        <v>7</v>
      </c>
      <c r="B790" s="1" t="s">
        <v>152</v>
      </c>
      <c r="C790" s="4">
        <v>192</v>
      </c>
      <c r="D790" s="8">
        <v>2.7</v>
      </c>
      <c r="E790" s="4">
        <v>179</v>
      </c>
      <c r="F790" s="8">
        <v>5.3</v>
      </c>
      <c r="G790" s="4">
        <v>13</v>
      </c>
      <c r="H790" s="8">
        <v>0.35</v>
      </c>
      <c r="I790" s="4">
        <v>0</v>
      </c>
    </row>
    <row r="791" spans="1:9" x14ac:dyDescent="0.15">
      <c r="A791" s="2">
        <v>8</v>
      </c>
      <c r="B791" s="1" t="s">
        <v>145</v>
      </c>
      <c r="C791" s="4">
        <v>181</v>
      </c>
      <c r="D791" s="8">
        <v>2.54</v>
      </c>
      <c r="E791" s="4">
        <v>94</v>
      </c>
      <c r="F791" s="8">
        <v>2.78</v>
      </c>
      <c r="G791" s="4">
        <v>87</v>
      </c>
      <c r="H791" s="8">
        <v>2.33</v>
      </c>
      <c r="I791" s="4">
        <v>0</v>
      </c>
    </row>
    <row r="792" spans="1:9" x14ac:dyDescent="0.15">
      <c r="A792" s="2">
        <v>9</v>
      </c>
      <c r="B792" s="1" t="s">
        <v>154</v>
      </c>
      <c r="C792" s="4">
        <v>172</v>
      </c>
      <c r="D792" s="8">
        <v>2.42</v>
      </c>
      <c r="E792" s="4">
        <v>154</v>
      </c>
      <c r="F792" s="8">
        <v>4.5599999999999996</v>
      </c>
      <c r="G792" s="4">
        <v>18</v>
      </c>
      <c r="H792" s="8">
        <v>0.48</v>
      </c>
      <c r="I792" s="4">
        <v>0</v>
      </c>
    </row>
    <row r="793" spans="1:9" x14ac:dyDescent="0.15">
      <c r="A793" s="2">
        <v>10</v>
      </c>
      <c r="B793" s="1" t="s">
        <v>149</v>
      </c>
      <c r="C793" s="4">
        <v>141</v>
      </c>
      <c r="D793" s="8">
        <v>1.98</v>
      </c>
      <c r="E793" s="4">
        <v>9</v>
      </c>
      <c r="F793" s="8">
        <v>0.27</v>
      </c>
      <c r="G793" s="4">
        <v>129</v>
      </c>
      <c r="H793" s="8">
        <v>3.46</v>
      </c>
      <c r="I793" s="4">
        <v>3</v>
      </c>
    </row>
    <row r="794" spans="1:9" x14ac:dyDescent="0.15">
      <c r="A794" s="2">
        <v>11</v>
      </c>
      <c r="B794" s="1" t="s">
        <v>143</v>
      </c>
      <c r="C794" s="4">
        <v>137</v>
      </c>
      <c r="D794" s="8">
        <v>1.93</v>
      </c>
      <c r="E794" s="4">
        <v>60</v>
      </c>
      <c r="F794" s="8">
        <v>1.78</v>
      </c>
      <c r="G794" s="4">
        <v>77</v>
      </c>
      <c r="H794" s="8">
        <v>2.06</v>
      </c>
      <c r="I794" s="4">
        <v>0</v>
      </c>
    </row>
    <row r="795" spans="1:9" x14ac:dyDescent="0.15">
      <c r="A795" s="2">
        <v>12</v>
      </c>
      <c r="B795" s="1" t="s">
        <v>147</v>
      </c>
      <c r="C795" s="4">
        <v>121</v>
      </c>
      <c r="D795" s="8">
        <v>1.7</v>
      </c>
      <c r="E795" s="4">
        <v>25</v>
      </c>
      <c r="F795" s="8">
        <v>0.74</v>
      </c>
      <c r="G795" s="4">
        <v>96</v>
      </c>
      <c r="H795" s="8">
        <v>2.57</v>
      </c>
      <c r="I795" s="4">
        <v>0</v>
      </c>
    </row>
    <row r="796" spans="1:9" x14ac:dyDescent="0.15">
      <c r="A796" s="2">
        <v>13</v>
      </c>
      <c r="B796" s="1" t="s">
        <v>153</v>
      </c>
      <c r="C796" s="4">
        <v>119</v>
      </c>
      <c r="D796" s="8">
        <v>1.67</v>
      </c>
      <c r="E796" s="4">
        <v>59</v>
      </c>
      <c r="F796" s="8">
        <v>1.75</v>
      </c>
      <c r="G796" s="4">
        <v>60</v>
      </c>
      <c r="H796" s="8">
        <v>1.61</v>
      </c>
      <c r="I796" s="4">
        <v>0</v>
      </c>
    </row>
    <row r="797" spans="1:9" x14ac:dyDescent="0.15">
      <c r="A797" s="2">
        <v>14</v>
      </c>
      <c r="B797" s="1" t="s">
        <v>146</v>
      </c>
      <c r="C797" s="4">
        <v>117</v>
      </c>
      <c r="D797" s="8">
        <v>1.64</v>
      </c>
      <c r="E797" s="4">
        <v>7</v>
      </c>
      <c r="F797" s="8">
        <v>0.21</v>
      </c>
      <c r="G797" s="4">
        <v>110</v>
      </c>
      <c r="H797" s="8">
        <v>2.95</v>
      </c>
      <c r="I797" s="4">
        <v>0</v>
      </c>
    </row>
    <row r="798" spans="1:9" x14ac:dyDescent="0.15">
      <c r="A798" s="2">
        <v>15</v>
      </c>
      <c r="B798" s="1" t="s">
        <v>163</v>
      </c>
      <c r="C798" s="4">
        <v>111</v>
      </c>
      <c r="D798" s="8">
        <v>1.56</v>
      </c>
      <c r="E798" s="4">
        <v>101</v>
      </c>
      <c r="F798" s="8">
        <v>2.99</v>
      </c>
      <c r="G798" s="4">
        <v>10</v>
      </c>
      <c r="H798" s="8">
        <v>0.27</v>
      </c>
      <c r="I798" s="4">
        <v>0</v>
      </c>
    </row>
    <row r="799" spans="1:9" x14ac:dyDescent="0.15">
      <c r="A799" s="2">
        <v>16</v>
      </c>
      <c r="B799" s="1" t="s">
        <v>139</v>
      </c>
      <c r="C799" s="4">
        <v>109</v>
      </c>
      <c r="D799" s="8">
        <v>1.53</v>
      </c>
      <c r="E799" s="4">
        <v>7</v>
      </c>
      <c r="F799" s="8">
        <v>0.21</v>
      </c>
      <c r="G799" s="4">
        <v>102</v>
      </c>
      <c r="H799" s="8">
        <v>2.73</v>
      </c>
      <c r="I799" s="4">
        <v>0</v>
      </c>
    </row>
    <row r="800" spans="1:9" x14ac:dyDescent="0.15">
      <c r="A800" s="2">
        <v>17</v>
      </c>
      <c r="B800" s="1" t="s">
        <v>144</v>
      </c>
      <c r="C800" s="4">
        <v>107</v>
      </c>
      <c r="D800" s="8">
        <v>1.5</v>
      </c>
      <c r="E800" s="4">
        <v>41</v>
      </c>
      <c r="F800" s="8">
        <v>1.21</v>
      </c>
      <c r="G800" s="4">
        <v>66</v>
      </c>
      <c r="H800" s="8">
        <v>1.77</v>
      </c>
      <c r="I800" s="4">
        <v>0</v>
      </c>
    </row>
    <row r="801" spans="1:9" x14ac:dyDescent="0.15">
      <c r="A801" s="2">
        <v>18</v>
      </c>
      <c r="B801" s="1" t="s">
        <v>138</v>
      </c>
      <c r="C801" s="4">
        <v>104</v>
      </c>
      <c r="D801" s="8">
        <v>1.46</v>
      </c>
      <c r="E801" s="4">
        <v>13</v>
      </c>
      <c r="F801" s="8">
        <v>0.38</v>
      </c>
      <c r="G801" s="4">
        <v>91</v>
      </c>
      <c r="H801" s="8">
        <v>2.44</v>
      </c>
      <c r="I801" s="4">
        <v>0</v>
      </c>
    </row>
    <row r="802" spans="1:9" x14ac:dyDescent="0.15">
      <c r="A802" s="2">
        <v>18</v>
      </c>
      <c r="B802" s="1" t="s">
        <v>140</v>
      </c>
      <c r="C802" s="4">
        <v>104</v>
      </c>
      <c r="D802" s="8">
        <v>1.46</v>
      </c>
      <c r="E802" s="4">
        <v>17</v>
      </c>
      <c r="F802" s="8">
        <v>0.5</v>
      </c>
      <c r="G802" s="4">
        <v>87</v>
      </c>
      <c r="H802" s="8">
        <v>2.33</v>
      </c>
      <c r="I802" s="4">
        <v>0</v>
      </c>
    </row>
    <row r="803" spans="1:9" x14ac:dyDescent="0.15">
      <c r="A803" s="2">
        <v>20</v>
      </c>
      <c r="B803" s="1" t="s">
        <v>161</v>
      </c>
      <c r="C803" s="4">
        <v>100</v>
      </c>
      <c r="D803" s="8">
        <v>1.41</v>
      </c>
      <c r="E803" s="4">
        <v>26</v>
      </c>
      <c r="F803" s="8">
        <v>0.77</v>
      </c>
      <c r="G803" s="4">
        <v>74</v>
      </c>
      <c r="H803" s="8">
        <v>1.98</v>
      </c>
      <c r="I803" s="4">
        <v>0</v>
      </c>
    </row>
    <row r="804" spans="1:9" x14ac:dyDescent="0.15">
      <c r="A804" s="1"/>
      <c r="C804" s="4"/>
      <c r="D804" s="8"/>
      <c r="E804" s="4"/>
      <c r="F804" s="8"/>
      <c r="G804" s="4"/>
      <c r="H804" s="8"/>
      <c r="I804" s="4"/>
    </row>
    <row r="805" spans="1:9" x14ac:dyDescent="0.15">
      <c r="A805" s="1" t="s">
        <v>36</v>
      </c>
      <c r="C805" s="4"/>
      <c r="D805" s="8"/>
      <c r="E805" s="4"/>
      <c r="F805" s="8"/>
      <c r="G805" s="4"/>
      <c r="H805" s="8"/>
      <c r="I805" s="4"/>
    </row>
    <row r="806" spans="1:9" x14ac:dyDescent="0.15">
      <c r="A806" s="2">
        <v>1</v>
      </c>
      <c r="B806" s="1" t="s">
        <v>155</v>
      </c>
      <c r="C806" s="4">
        <v>240</v>
      </c>
      <c r="D806" s="8">
        <v>5.43</v>
      </c>
      <c r="E806" s="4">
        <v>212</v>
      </c>
      <c r="F806" s="8">
        <v>9.4700000000000006</v>
      </c>
      <c r="G806" s="4">
        <v>28</v>
      </c>
      <c r="H806" s="8">
        <v>1.28</v>
      </c>
      <c r="I806" s="4">
        <v>0</v>
      </c>
    </row>
    <row r="807" spans="1:9" x14ac:dyDescent="0.15">
      <c r="A807" s="2">
        <v>2</v>
      </c>
      <c r="B807" s="1" t="s">
        <v>148</v>
      </c>
      <c r="C807" s="4">
        <v>157</v>
      </c>
      <c r="D807" s="8">
        <v>3.55</v>
      </c>
      <c r="E807" s="4">
        <v>99</v>
      </c>
      <c r="F807" s="8">
        <v>4.42</v>
      </c>
      <c r="G807" s="4">
        <v>58</v>
      </c>
      <c r="H807" s="8">
        <v>2.66</v>
      </c>
      <c r="I807" s="4">
        <v>0</v>
      </c>
    </row>
    <row r="808" spans="1:9" x14ac:dyDescent="0.15">
      <c r="A808" s="2">
        <v>3</v>
      </c>
      <c r="B808" s="1" t="s">
        <v>151</v>
      </c>
      <c r="C808" s="4">
        <v>145</v>
      </c>
      <c r="D808" s="8">
        <v>3.28</v>
      </c>
      <c r="E808" s="4">
        <v>135</v>
      </c>
      <c r="F808" s="8">
        <v>6.03</v>
      </c>
      <c r="G808" s="4">
        <v>10</v>
      </c>
      <c r="H808" s="8">
        <v>0.46</v>
      </c>
      <c r="I808" s="4">
        <v>0</v>
      </c>
    </row>
    <row r="809" spans="1:9" x14ac:dyDescent="0.15">
      <c r="A809" s="2">
        <v>4</v>
      </c>
      <c r="B809" s="1" t="s">
        <v>152</v>
      </c>
      <c r="C809" s="4">
        <v>124</v>
      </c>
      <c r="D809" s="8">
        <v>2.81</v>
      </c>
      <c r="E809" s="4">
        <v>117</v>
      </c>
      <c r="F809" s="8">
        <v>5.23</v>
      </c>
      <c r="G809" s="4">
        <v>7</v>
      </c>
      <c r="H809" s="8">
        <v>0.32</v>
      </c>
      <c r="I809" s="4">
        <v>0</v>
      </c>
    </row>
    <row r="810" spans="1:9" x14ac:dyDescent="0.15">
      <c r="A810" s="2">
        <v>5</v>
      </c>
      <c r="B810" s="1" t="s">
        <v>154</v>
      </c>
      <c r="C810" s="4">
        <v>123</v>
      </c>
      <c r="D810" s="8">
        <v>2.78</v>
      </c>
      <c r="E810" s="4">
        <v>117</v>
      </c>
      <c r="F810" s="8">
        <v>5.23</v>
      </c>
      <c r="G810" s="4">
        <v>6</v>
      </c>
      <c r="H810" s="8">
        <v>0.28000000000000003</v>
      </c>
      <c r="I810" s="4">
        <v>0</v>
      </c>
    </row>
    <row r="811" spans="1:9" x14ac:dyDescent="0.15">
      <c r="A811" s="2">
        <v>6</v>
      </c>
      <c r="B811" s="1" t="s">
        <v>150</v>
      </c>
      <c r="C811" s="4">
        <v>116</v>
      </c>
      <c r="D811" s="8">
        <v>2.63</v>
      </c>
      <c r="E811" s="4">
        <v>97</v>
      </c>
      <c r="F811" s="8">
        <v>4.33</v>
      </c>
      <c r="G811" s="4">
        <v>19</v>
      </c>
      <c r="H811" s="8">
        <v>0.87</v>
      </c>
      <c r="I811" s="4">
        <v>0</v>
      </c>
    </row>
    <row r="812" spans="1:9" x14ac:dyDescent="0.15">
      <c r="A812" s="2">
        <v>7</v>
      </c>
      <c r="B812" s="1" t="s">
        <v>145</v>
      </c>
      <c r="C812" s="4">
        <v>115</v>
      </c>
      <c r="D812" s="8">
        <v>2.6</v>
      </c>
      <c r="E812" s="4">
        <v>69</v>
      </c>
      <c r="F812" s="8">
        <v>3.08</v>
      </c>
      <c r="G812" s="4">
        <v>46</v>
      </c>
      <c r="H812" s="8">
        <v>2.11</v>
      </c>
      <c r="I812" s="4">
        <v>0</v>
      </c>
    </row>
    <row r="813" spans="1:9" x14ac:dyDescent="0.15">
      <c r="A813" s="2">
        <v>8</v>
      </c>
      <c r="B813" s="1" t="s">
        <v>156</v>
      </c>
      <c r="C813" s="4">
        <v>108</v>
      </c>
      <c r="D813" s="8">
        <v>2.44</v>
      </c>
      <c r="E813" s="4">
        <v>82</v>
      </c>
      <c r="F813" s="8">
        <v>3.66</v>
      </c>
      <c r="G813" s="4">
        <v>26</v>
      </c>
      <c r="H813" s="8">
        <v>1.19</v>
      </c>
      <c r="I813" s="4">
        <v>0</v>
      </c>
    </row>
    <row r="814" spans="1:9" x14ac:dyDescent="0.15">
      <c r="A814" s="2">
        <v>9</v>
      </c>
      <c r="B814" s="1" t="s">
        <v>157</v>
      </c>
      <c r="C814" s="4">
        <v>101</v>
      </c>
      <c r="D814" s="8">
        <v>2.29</v>
      </c>
      <c r="E814" s="4">
        <v>86</v>
      </c>
      <c r="F814" s="8">
        <v>3.84</v>
      </c>
      <c r="G814" s="4">
        <v>15</v>
      </c>
      <c r="H814" s="8">
        <v>0.69</v>
      </c>
      <c r="I814" s="4">
        <v>0</v>
      </c>
    </row>
    <row r="815" spans="1:9" x14ac:dyDescent="0.15">
      <c r="A815" s="2">
        <v>10</v>
      </c>
      <c r="B815" s="1" t="s">
        <v>138</v>
      </c>
      <c r="C815" s="4">
        <v>94</v>
      </c>
      <c r="D815" s="8">
        <v>2.13</v>
      </c>
      <c r="E815" s="4">
        <v>12</v>
      </c>
      <c r="F815" s="8">
        <v>0.54</v>
      </c>
      <c r="G815" s="4">
        <v>82</v>
      </c>
      <c r="H815" s="8">
        <v>3.76</v>
      </c>
      <c r="I815" s="4">
        <v>0</v>
      </c>
    </row>
    <row r="816" spans="1:9" x14ac:dyDescent="0.15">
      <c r="A816" s="2">
        <v>11</v>
      </c>
      <c r="B816" s="1" t="s">
        <v>143</v>
      </c>
      <c r="C816" s="4">
        <v>84</v>
      </c>
      <c r="D816" s="8">
        <v>1.9</v>
      </c>
      <c r="E816" s="4">
        <v>41</v>
      </c>
      <c r="F816" s="8">
        <v>1.83</v>
      </c>
      <c r="G816" s="4">
        <v>43</v>
      </c>
      <c r="H816" s="8">
        <v>1.97</v>
      </c>
      <c r="I816" s="4">
        <v>0</v>
      </c>
    </row>
    <row r="817" spans="1:9" x14ac:dyDescent="0.15">
      <c r="A817" s="2">
        <v>12</v>
      </c>
      <c r="B817" s="1" t="s">
        <v>147</v>
      </c>
      <c r="C817" s="4">
        <v>83</v>
      </c>
      <c r="D817" s="8">
        <v>1.88</v>
      </c>
      <c r="E817" s="4">
        <v>15</v>
      </c>
      <c r="F817" s="8">
        <v>0.67</v>
      </c>
      <c r="G817" s="4">
        <v>68</v>
      </c>
      <c r="H817" s="8">
        <v>3.12</v>
      </c>
      <c r="I817" s="4">
        <v>0</v>
      </c>
    </row>
    <row r="818" spans="1:9" x14ac:dyDescent="0.15">
      <c r="A818" s="2">
        <v>13</v>
      </c>
      <c r="B818" s="1" t="s">
        <v>153</v>
      </c>
      <c r="C818" s="4">
        <v>78</v>
      </c>
      <c r="D818" s="8">
        <v>1.77</v>
      </c>
      <c r="E818" s="4">
        <v>52</v>
      </c>
      <c r="F818" s="8">
        <v>2.3199999999999998</v>
      </c>
      <c r="G818" s="4">
        <v>26</v>
      </c>
      <c r="H818" s="8">
        <v>1.19</v>
      </c>
      <c r="I818" s="4">
        <v>0</v>
      </c>
    </row>
    <row r="819" spans="1:9" x14ac:dyDescent="0.15">
      <c r="A819" s="2">
        <v>14</v>
      </c>
      <c r="B819" s="1" t="s">
        <v>161</v>
      </c>
      <c r="C819" s="4">
        <v>74</v>
      </c>
      <c r="D819" s="8">
        <v>1.67</v>
      </c>
      <c r="E819" s="4">
        <v>25</v>
      </c>
      <c r="F819" s="8">
        <v>1.1200000000000001</v>
      </c>
      <c r="G819" s="4">
        <v>49</v>
      </c>
      <c r="H819" s="8">
        <v>2.25</v>
      </c>
      <c r="I819" s="4">
        <v>0</v>
      </c>
    </row>
    <row r="820" spans="1:9" x14ac:dyDescent="0.15">
      <c r="A820" s="2">
        <v>15</v>
      </c>
      <c r="B820" s="1" t="s">
        <v>142</v>
      </c>
      <c r="C820" s="4">
        <v>72</v>
      </c>
      <c r="D820" s="8">
        <v>1.63</v>
      </c>
      <c r="E820" s="4">
        <v>34</v>
      </c>
      <c r="F820" s="8">
        <v>1.52</v>
      </c>
      <c r="G820" s="4">
        <v>38</v>
      </c>
      <c r="H820" s="8">
        <v>1.74</v>
      </c>
      <c r="I820" s="4">
        <v>0</v>
      </c>
    </row>
    <row r="821" spans="1:9" x14ac:dyDescent="0.15">
      <c r="A821" s="2">
        <v>16</v>
      </c>
      <c r="B821" s="1" t="s">
        <v>144</v>
      </c>
      <c r="C821" s="4">
        <v>71</v>
      </c>
      <c r="D821" s="8">
        <v>1.61</v>
      </c>
      <c r="E821" s="4">
        <v>18</v>
      </c>
      <c r="F821" s="8">
        <v>0.8</v>
      </c>
      <c r="G821" s="4">
        <v>53</v>
      </c>
      <c r="H821" s="8">
        <v>2.4300000000000002</v>
      </c>
      <c r="I821" s="4">
        <v>0</v>
      </c>
    </row>
    <row r="822" spans="1:9" x14ac:dyDescent="0.15">
      <c r="A822" s="2">
        <v>17</v>
      </c>
      <c r="B822" s="1" t="s">
        <v>140</v>
      </c>
      <c r="C822" s="4">
        <v>68</v>
      </c>
      <c r="D822" s="8">
        <v>1.54</v>
      </c>
      <c r="E822" s="4">
        <v>14</v>
      </c>
      <c r="F822" s="8">
        <v>0.63</v>
      </c>
      <c r="G822" s="4">
        <v>54</v>
      </c>
      <c r="H822" s="8">
        <v>2.48</v>
      </c>
      <c r="I822" s="4">
        <v>0</v>
      </c>
    </row>
    <row r="823" spans="1:9" x14ac:dyDescent="0.15">
      <c r="A823" s="2">
        <v>18</v>
      </c>
      <c r="B823" s="1" t="s">
        <v>141</v>
      </c>
      <c r="C823" s="4">
        <v>67</v>
      </c>
      <c r="D823" s="8">
        <v>1.52</v>
      </c>
      <c r="E823" s="4">
        <v>10</v>
      </c>
      <c r="F823" s="8">
        <v>0.45</v>
      </c>
      <c r="G823" s="4">
        <v>57</v>
      </c>
      <c r="H823" s="8">
        <v>2.61</v>
      </c>
      <c r="I823" s="4">
        <v>0</v>
      </c>
    </row>
    <row r="824" spans="1:9" x14ac:dyDescent="0.15">
      <c r="A824" s="2">
        <v>19</v>
      </c>
      <c r="B824" s="1" t="s">
        <v>139</v>
      </c>
      <c r="C824" s="4">
        <v>63</v>
      </c>
      <c r="D824" s="8">
        <v>1.43</v>
      </c>
      <c r="E824" s="4">
        <v>10</v>
      </c>
      <c r="F824" s="8">
        <v>0.45</v>
      </c>
      <c r="G824" s="4">
        <v>53</v>
      </c>
      <c r="H824" s="8">
        <v>2.4300000000000002</v>
      </c>
      <c r="I824" s="4">
        <v>0</v>
      </c>
    </row>
    <row r="825" spans="1:9" x14ac:dyDescent="0.15">
      <c r="A825" s="2">
        <v>20</v>
      </c>
      <c r="B825" s="1" t="s">
        <v>166</v>
      </c>
      <c r="C825" s="4">
        <v>62</v>
      </c>
      <c r="D825" s="8">
        <v>1.4</v>
      </c>
      <c r="E825" s="4">
        <v>32</v>
      </c>
      <c r="F825" s="8">
        <v>1.43</v>
      </c>
      <c r="G825" s="4">
        <v>30</v>
      </c>
      <c r="H825" s="8">
        <v>1.38</v>
      </c>
      <c r="I825" s="4">
        <v>0</v>
      </c>
    </row>
    <row r="826" spans="1:9" x14ac:dyDescent="0.15">
      <c r="A826" s="1"/>
      <c r="C826" s="4"/>
      <c r="D826" s="8"/>
      <c r="E826" s="4"/>
      <c r="F826" s="8"/>
      <c r="G826" s="4"/>
      <c r="H826" s="8"/>
      <c r="I826" s="4"/>
    </row>
    <row r="827" spans="1:9" x14ac:dyDescent="0.15">
      <c r="A827" s="1" t="s">
        <v>37</v>
      </c>
      <c r="C827" s="4"/>
      <c r="D827" s="8"/>
      <c r="E827" s="4"/>
      <c r="F827" s="8"/>
      <c r="G827" s="4"/>
      <c r="H827" s="8"/>
      <c r="I827" s="4"/>
    </row>
    <row r="828" spans="1:9" x14ac:dyDescent="0.15">
      <c r="A828" s="2">
        <v>1</v>
      </c>
      <c r="B828" s="1" t="s">
        <v>148</v>
      </c>
      <c r="C828" s="4">
        <v>369</v>
      </c>
      <c r="D828" s="8">
        <v>9.2799999999999994</v>
      </c>
      <c r="E828" s="4">
        <v>312</v>
      </c>
      <c r="F828" s="8">
        <v>14.37</v>
      </c>
      <c r="G828" s="4">
        <v>57</v>
      </c>
      <c r="H828" s="8">
        <v>3.17</v>
      </c>
      <c r="I828" s="4">
        <v>0</v>
      </c>
    </row>
    <row r="829" spans="1:9" x14ac:dyDescent="0.15">
      <c r="A829" s="2">
        <v>2</v>
      </c>
      <c r="B829" s="1" t="s">
        <v>155</v>
      </c>
      <c r="C829" s="4">
        <v>216</v>
      </c>
      <c r="D829" s="8">
        <v>5.43</v>
      </c>
      <c r="E829" s="4">
        <v>178</v>
      </c>
      <c r="F829" s="8">
        <v>8.1999999999999993</v>
      </c>
      <c r="G829" s="4">
        <v>38</v>
      </c>
      <c r="H829" s="8">
        <v>2.11</v>
      </c>
      <c r="I829" s="4">
        <v>0</v>
      </c>
    </row>
    <row r="830" spans="1:9" x14ac:dyDescent="0.15">
      <c r="A830" s="2">
        <v>3</v>
      </c>
      <c r="B830" s="1" t="s">
        <v>157</v>
      </c>
      <c r="C830" s="4">
        <v>151</v>
      </c>
      <c r="D830" s="8">
        <v>3.8</v>
      </c>
      <c r="E830" s="4">
        <v>125</v>
      </c>
      <c r="F830" s="8">
        <v>5.76</v>
      </c>
      <c r="G830" s="4">
        <v>26</v>
      </c>
      <c r="H830" s="8">
        <v>1.45</v>
      </c>
      <c r="I830" s="4">
        <v>0</v>
      </c>
    </row>
    <row r="831" spans="1:9" x14ac:dyDescent="0.15">
      <c r="A831" s="2">
        <v>4</v>
      </c>
      <c r="B831" s="1" t="s">
        <v>152</v>
      </c>
      <c r="C831" s="4">
        <v>136</v>
      </c>
      <c r="D831" s="8">
        <v>3.42</v>
      </c>
      <c r="E831" s="4">
        <v>128</v>
      </c>
      <c r="F831" s="8">
        <v>5.9</v>
      </c>
      <c r="G831" s="4">
        <v>7</v>
      </c>
      <c r="H831" s="8">
        <v>0.39</v>
      </c>
      <c r="I831" s="4">
        <v>1</v>
      </c>
    </row>
    <row r="832" spans="1:9" x14ac:dyDescent="0.15">
      <c r="A832" s="2">
        <v>5</v>
      </c>
      <c r="B832" s="1" t="s">
        <v>150</v>
      </c>
      <c r="C832" s="4">
        <v>128</v>
      </c>
      <c r="D832" s="8">
        <v>3.22</v>
      </c>
      <c r="E832" s="4">
        <v>100</v>
      </c>
      <c r="F832" s="8">
        <v>4.6100000000000003</v>
      </c>
      <c r="G832" s="4">
        <v>28</v>
      </c>
      <c r="H832" s="8">
        <v>1.56</v>
      </c>
      <c r="I832" s="4">
        <v>0</v>
      </c>
    </row>
    <row r="833" spans="1:9" x14ac:dyDescent="0.15">
      <c r="A833" s="2">
        <v>6</v>
      </c>
      <c r="B833" s="1" t="s">
        <v>156</v>
      </c>
      <c r="C833" s="4">
        <v>122</v>
      </c>
      <c r="D833" s="8">
        <v>3.07</v>
      </c>
      <c r="E833" s="4">
        <v>95</v>
      </c>
      <c r="F833" s="8">
        <v>4.38</v>
      </c>
      <c r="G833" s="4">
        <v>26</v>
      </c>
      <c r="H833" s="8">
        <v>1.45</v>
      </c>
      <c r="I833" s="4">
        <v>1</v>
      </c>
    </row>
    <row r="834" spans="1:9" x14ac:dyDescent="0.15">
      <c r="A834" s="2">
        <v>7</v>
      </c>
      <c r="B834" s="1" t="s">
        <v>151</v>
      </c>
      <c r="C834" s="4">
        <v>111</v>
      </c>
      <c r="D834" s="8">
        <v>2.79</v>
      </c>
      <c r="E834" s="4">
        <v>99</v>
      </c>
      <c r="F834" s="8">
        <v>4.5599999999999996</v>
      </c>
      <c r="G834" s="4">
        <v>12</v>
      </c>
      <c r="H834" s="8">
        <v>0.67</v>
      </c>
      <c r="I834" s="4">
        <v>0</v>
      </c>
    </row>
    <row r="835" spans="1:9" x14ac:dyDescent="0.15">
      <c r="A835" s="2">
        <v>8</v>
      </c>
      <c r="B835" s="1" t="s">
        <v>145</v>
      </c>
      <c r="C835" s="4">
        <v>103</v>
      </c>
      <c r="D835" s="8">
        <v>2.59</v>
      </c>
      <c r="E835" s="4">
        <v>58</v>
      </c>
      <c r="F835" s="8">
        <v>2.67</v>
      </c>
      <c r="G835" s="4">
        <v>45</v>
      </c>
      <c r="H835" s="8">
        <v>2.5</v>
      </c>
      <c r="I835" s="4">
        <v>0</v>
      </c>
    </row>
    <row r="836" spans="1:9" x14ac:dyDescent="0.15">
      <c r="A836" s="2">
        <v>9</v>
      </c>
      <c r="B836" s="1" t="s">
        <v>154</v>
      </c>
      <c r="C836" s="4">
        <v>101</v>
      </c>
      <c r="D836" s="8">
        <v>2.54</v>
      </c>
      <c r="E836" s="4">
        <v>93</v>
      </c>
      <c r="F836" s="8">
        <v>4.28</v>
      </c>
      <c r="G836" s="4">
        <v>7</v>
      </c>
      <c r="H836" s="8">
        <v>0.39</v>
      </c>
      <c r="I836" s="4">
        <v>1</v>
      </c>
    </row>
    <row r="837" spans="1:9" x14ac:dyDescent="0.15">
      <c r="A837" s="2">
        <v>10</v>
      </c>
      <c r="B837" s="1" t="s">
        <v>138</v>
      </c>
      <c r="C837" s="4">
        <v>70</v>
      </c>
      <c r="D837" s="8">
        <v>1.76</v>
      </c>
      <c r="E837" s="4">
        <v>16</v>
      </c>
      <c r="F837" s="8">
        <v>0.74</v>
      </c>
      <c r="G837" s="4">
        <v>54</v>
      </c>
      <c r="H837" s="8">
        <v>3</v>
      </c>
      <c r="I837" s="4">
        <v>0</v>
      </c>
    </row>
    <row r="838" spans="1:9" x14ac:dyDescent="0.15">
      <c r="A838" s="2">
        <v>11</v>
      </c>
      <c r="B838" s="1" t="s">
        <v>149</v>
      </c>
      <c r="C838" s="4">
        <v>68</v>
      </c>
      <c r="D838" s="8">
        <v>1.71</v>
      </c>
      <c r="E838" s="4">
        <v>6</v>
      </c>
      <c r="F838" s="8">
        <v>0.28000000000000003</v>
      </c>
      <c r="G838" s="4">
        <v>62</v>
      </c>
      <c r="H838" s="8">
        <v>3.45</v>
      </c>
      <c r="I838" s="4">
        <v>0</v>
      </c>
    </row>
    <row r="839" spans="1:9" x14ac:dyDescent="0.15">
      <c r="A839" s="2">
        <v>12</v>
      </c>
      <c r="B839" s="1" t="s">
        <v>142</v>
      </c>
      <c r="C839" s="4">
        <v>61</v>
      </c>
      <c r="D839" s="8">
        <v>1.53</v>
      </c>
      <c r="E839" s="4">
        <v>28</v>
      </c>
      <c r="F839" s="8">
        <v>1.29</v>
      </c>
      <c r="G839" s="4">
        <v>33</v>
      </c>
      <c r="H839" s="8">
        <v>1.83</v>
      </c>
      <c r="I839" s="4">
        <v>0</v>
      </c>
    </row>
    <row r="840" spans="1:9" x14ac:dyDescent="0.15">
      <c r="A840" s="2">
        <v>12</v>
      </c>
      <c r="B840" s="1" t="s">
        <v>153</v>
      </c>
      <c r="C840" s="4">
        <v>61</v>
      </c>
      <c r="D840" s="8">
        <v>1.53</v>
      </c>
      <c r="E840" s="4">
        <v>43</v>
      </c>
      <c r="F840" s="8">
        <v>1.98</v>
      </c>
      <c r="G840" s="4">
        <v>18</v>
      </c>
      <c r="H840" s="8">
        <v>1</v>
      </c>
      <c r="I840" s="4">
        <v>0</v>
      </c>
    </row>
    <row r="841" spans="1:9" x14ac:dyDescent="0.15">
      <c r="A841" s="2">
        <v>14</v>
      </c>
      <c r="B841" s="1" t="s">
        <v>141</v>
      </c>
      <c r="C841" s="4">
        <v>56</v>
      </c>
      <c r="D841" s="8">
        <v>1.41</v>
      </c>
      <c r="E841" s="4">
        <v>7</v>
      </c>
      <c r="F841" s="8">
        <v>0.32</v>
      </c>
      <c r="G841" s="4">
        <v>49</v>
      </c>
      <c r="H841" s="8">
        <v>2.72</v>
      </c>
      <c r="I841" s="4">
        <v>0</v>
      </c>
    </row>
    <row r="842" spans="1:9" x14ac:dyDescent="0.15">
      <c r="A842" s="2">
        <v>15</v>
      </c>
      <c r="B842" s="1" t="s">
        <v>147</v>
      </c>
      <c r="C842" s="4">
        <v>55</v>
      </c>
      <c r="D842" s="8">
        <v>1.38</v>
      </c>
      <c r="E842" s="4">
        <v>17</v>
      </c>
      <c r="F842" s="8">
        <v>0.78</v>
      </c>
      <c r="G842" s="4">
        <v>38</v>
      </c>
      <c r="H842" s="8">
        <v>2.11</v>
      </c>
      <c r="I842" s="4">
        <v>0</v>
      </c>
    </row>
    <row r="843" spans="1:9" x14ac:dyDescent="0.15">
      <c r="A843" s="2">
        <v>16</v>
      </c>
      <c r="B843" s="1" t="s">
        <v>175</v>
      </c>
      <c r="C843" s="4">
        <v>53</v>
      </c>
      <c r="D843" s="8">
        <v>1.33</v>
      </c>
      <c r="E843" s="4">
        <v>39</v>
      </c>
      <c r="F843" s="8">
        <v>1.8</v>
      </c>
      <c r="G843" s="4">
        <v>14</v>
      </c>
      <c r="H843" s="8">
        <v>0.78</v>
      </c>
      <c r="I843" s="4">
        <v>0</v>
      </c>
    </row>
    <row r="844" spans="1:9" x14ac:dyDescent="0.15">
      <c r="A844" s="2">
        <v>17</v>
      </c>
      <c r="B844" s="1" t="s">
        <v>174</v>
      </c>
      <c r="C844" s="4">
        <v>52</v>
      </c>
      <c r="D844" s="8">
        <v>1.31</v>
      </c>
      <c r="E844" s="4">
        <v>11</v>
      </c>
      <c r="F844" s="8">
        <v>0.51</v>
      </c>
      <c r="G844" s="4">
        <v>41</v>
      </c>
      <c r="H844" s="8">
        <v>2.2799999999999998</v>
      </c>
      <c r="I844" s="4">
        <v>0</v>
      </c>
    </row>
    <row r="845" spans="1:9" x14ac:dyDescent="0.15">
      <c r="A845" s="2">
        <v>18</v>
      </c>
      <c r="B845" s="1" t="s">
        <v>140</v>
      </c>
      <c r="C845" s="4">
        <v>51</v>
      </c>
      <c r="D845" s="8">
        <v>1.28</v>
      </c>
      <c r="E845" s="4">
        <v>14</v>
      </c>
      <c r="F845" s="8">
        <v>0.64</v>
      </c>
      <c r="G845" s="4">
        <v>37</v>
      </c>
      <c r="H845" s="8">
        <v>2.06</v>
      </c>
      <c r="I845" s="4">
        <v>0</v>
      </c>
    </row>
    <row r="846" spans="1:9" x14ac:dyDescent="0.15">
      <c r="A846" s="2">
        <v>18</v>
      </c>
      <c r="B846" s="1" t="s">
        <v>166</v>
      </c>
      <c r="C846" s="4">
        <v>51</v>
      </c>
      <c r="D846" s="8">
        <v>1.28</v>
      </c>
      <c r="E846" s="4">
        <v>36</v>
      </c>
      <c r="F846" s="8">
        <v>1.66</v>
      </c>
      <c r="G846" s="4">
        <v>15</v>
      </c>
      <c r="H846" s="8">
        <v>0.83</v>
      </c>
      <c r="I846" s="4">
        <v>0</v>
      </c>
    </row>
    <row r="847" spans="1:9" x14ac:dyDescent="0.15">
      <c r="A847" s="2">
        <v>18</v>
      </c>
      <c r="B847" s="1" t="s">
        <v>144</v>
      </c>
      <c r="C847" s="4">
        <v>51</v>
      </c>
      <c r="D847" s="8">
        <v>1.28</v>
      </c>
      <c r="E847" s="4">
        <v>18</v>
      </c>
      <c r="F847" s="8">
        <v>0.83</v>
      </c>
      <c r="G847" s="4">
        <v>33</v>
      </c>
      <c r="H847" s="8">
        <v>1.83</v>
      </c>
      <c r="I847" s="4">
        <v>0</v>
      </c>
    </row>
    <row r="848" spans="1:9" x14ac:dyDescent="0.15">
      <c r="A848" s="1"/>
      <c r="C848" s="4"/>
      <c r="D848" s="8"/>
      <c r="E848" s="4"/>
      <c r="F848" s="8"/>
      <c r="G848" s="4"/>
      <c r="H848" s="8"/>
      <c r="I848" s="4"/>
    </row>
    <row r="849" spans="1:9" x14ac:dyDescent="0.15">
      <c r="A849" s="1" t="s">
        <v>38</v>
      </c>
      <c r="C849" s="4"/>
      <c r="D849" s="8"/>
      <c r="E849" s="4"/>
      <c r="F849" s="8"/>
      <c r="G849" s="4"/>
      <c r="H849" s="8"/>
      <c r="I849" s="4"/>
    </row>
    <row r="850" spans="1:9" x14ac:dyDescent="0.15">
      <c r="A850" s="2">
        <v>1</v>
      </c>
      <c r="B850" s="1" t="s">
        <v>148</v>
      </c>
      <c r="C850" s="4">
        <v>85</v>
      </c>
      <c r="D850" s="8">
        <v>7.5</v>
      </c>
      <c r="E850" s="4">
        <v>65</v>
      </c>
      <c r="F850" s="8">
        <v>10.48</v>
      </c>
      <c r="G850" s="4">
        <v>20</v>
      </c>
      <c r="H850" s="8">
        <v>3.91</v>
      </c>
      <c r="I850" s="4">
        <v>0</v>
      </c>
    </row>
    <row r="851" spans="1:9" x14ac:dyDescent="0.15">
      <c r="A851" s="2">
        <v>2</v>
      </c>
      <c r="B851" s="1" t="s">
        <v>155</v>
      </c>
      <c r="C851" s="4">
        <v>66</v>
      </c>
      <c r="D851" s="8">
        <v>5.82</v>
      </c>
      <c r="E851" s="4">
        <v>56</v>
      </c>
      <c r="F851" s="8">
        <v>9.0299999999999994</v>
      </c>
      <c r="G851" s="4">
        <v>10</v>
      </c>
      <c r="H851" s="8">
        <v>1.95</v>
      </c>
      <c r="I851" s="4">
        <v>0</v>
      </c>
    </row>
    <row r="852" spans="1:9" x14ac:dyDescent="0.15">
      <c r="A852" s="2">
        <v>3</v>
      </c>
      <c r="B852" s="1" t="s">
        <v>157</v>
      </c>
      <c r="C852" s="4">
        <v>44</v>
      </c>
      <c r="D852" s="8">
        <v>3.88</v>
      </c>
      <c r="E852" s="4">
        <v>37</v>
      </c>
      <c r="F852" s="8">
        <v>5.97</v>
      </c>
      <c r="G852" s="4">
        <v>7</v>
      </c>
      <c r="H852" s="8">
        <v>1.37</v>
      </c>
      <c r="I852" s="4">
        <v>0</v>
      </c>
    </row>
    <row r="853" spans="1:9" x14ac:dyDescent="0.15">
      <c r="A853" s="2">
        <v>4</v>
      </c>
      <c r="B853" s="1" t="s">
        <v>156</v>
      </c>
      <c r="C853" s="4">
        <v>43</v>
      </c>
      <c r="D853" s="8">
        <v>3.79</v>
      </c>
      <c r="E853" s="4">
        <v>39</v>
      </c>
      <c r="F853" s="8">
        <v>6.29</v>
      </c>
      <c r="G853" s="4">
        <v>4</v>
      </c>
      <c r="H853" s="8">
        <v>0.78</v>
      </c>
      <c r="I853" s="4">
        <v>0</v>
      </c>
    </row>
    <row r="854" spans="1:9" x14ac:dyDescent="0.15">
      <c r="A854" s="2">
        <v>5</v>
      </c>
      <c r="B854" s="1" t="s">
        <v>143</v>
      </c>
      <c r="C854" s="4">
        <v>33</v>
      </c>
      <c r="D854" s="8">
        <v>2.91</v>
      </c>
      <c r="E854" s="4">
        <v>18</v>
      </c>
      <c r="F854" s="8">
        <v>2.9</v>
      </c>
      <c r="G854" s="4">
        <v>15</v>
      </c>
      <c r="H854" s="8">
        <v>2.93</v>
      </c>
      <c r="I854" s="4">
        <v>0</v>
      </c>
    </row>
    <row r="855" spans="1:9" x14ac:dyDescent="0.15">
      <c r="A855" s="2">
        <v>6</v>
      </c>
      <c r="B855" s="1" t="s">
        <v>150</v>
      </c>
      <c r="C855" s="4">
        <v>32</v>
      </c>
      <c r="D855" s="8">
        <v>2.82</v>
      </c>
      <c r="E855" s="4">
        <v>24</v>
      </c>
      <c r="F855" s="8">
        <v>3.87</v>
      </c>
      <c r="G855" s="4">
        <v>8</v>
      </c>
      <c r="H855" s="8">
        <v>1.56</v>
      </c>
      <c r="I855" s="4">
        <v>0</v>
      </c>
    </row>
    <row r="856" spans="1:9" x14ac:dyDescent="0.15">
      <c r="A856" s="2">
        <v>7</v>
      </c>
      <c r="B856" s="1" t="s">
        <v>151</v>
      </c>
      <c r="C856" s="4">
        <v>28</v>
      </c>
      <c r="D856" s="8">
        <v>2.4700000000000002</v>
      </c>
      <c r="E856" s="4">
        <v>25</v>
      </c>
      <c r="F856" s="8">
        <v>4.03</v>
      </c>
      <c r="G856" s="4">
        <v>3</v>
      </c>
      <c r="H856" s="8">
        <v>0.59</v>
      </c>
      <c r="I856" s="4">
        <v>0</v>
      </c>
    </row>
    <row r="857" spans="1:9" x14ac:dyDescent="0.15">
      <c r="A857" s="2">
        <v>8</v>
      </c>
      <c r="B857" s="1" t="s">
        <v>145</v>
      </c>
      <c r="C857" s="4">
        <v>27</v>
      </c>
      <c r="D857" s="8">
        <v>2.38</v>
      </c>
      <c r="E857" s="4">
        <v>15</v>
      </c>
      <c r="F857" s="8">
        <v>2.42</v>
      </c>
      <c r="G857" s="4">
        <v>12</v>
      </c>
      <c r="H857" s="8">
        <v>2.34</v>
      </c>
      <c r="I857" s="4">
        <v>0</v>
      </c>
    </row>
    <row r="858" spans="1:9" x14ac:dyDescent="0.15">
      <c r="A858" s="2">
        <v>9</v>
      </c>
      <c r="B858" s="1" t="s">
        <v>161</v>
      </c>
      <c r="C858" s="4">
        <v>26</v>
      </c>
      <c r="D858" s="8">
        <v>2.29</v>
      </c>
      <c r="E858" s="4">
        <v>7</v>
      </c>
      <c r="F858" s="8">
        <v>1.1299999999999999</v>
      </c>
      <c r="G858" s="4">
        <v>19</v>
      </c>
      <c r="H858" s="8">
        <v>3.71</v>
      </c>
      <c r="I858" s="4">
        <v>0</v>
      </c>
    </row>
    <row r="859" spans="1:9" x14ac:dyDescent="0.15">
      <c r="A859" s="2">
        <v>10</v>
      </c>
      <c r="B859" s="1" t="s">
        <v>153</v>
      </c>
      <c r="C859" s="4">
        <v>25</v>
      </c>
      <c r="D859" s="8">
        <v>2.2000000000000002</v>
      </c>
      <c r="E859" s="4">
        <v>16</v>
      </c>
      <c r="F859" s="8">
        <v>2.58</v>
      </c>
      <c r="G859" s="4">
        <v>9</v>
      </c>
      <c r="H859" s="8">
        <v>1.76</v>
      </c>
      <c r="I859" s="4">
        <v>0</v>
      </c>
    </row>
    <row r="860" spans="1:9" x14ac:dyDescent="0.15">
      <c r="A860" s="2">
        <v>11</v>
      </c>
      <c r="B860" s="1" t="s">
        <v>154</v>
      </c>
      <c r="C860" s="4">
        <v>24</v>
      </c>
      <c r="D860" s="8">
        <v>2.12</v>
      </c>
      <c r="E860" s="4">
        <v>20</v>
      </c>
      <c r="F860" s="8">
        <v>3.23</v>
      </c>
      <c r="G860" s="4">
        <v>4</v>
      </c>
      <c r="H860" s="8">
        <v>0.78</v>
      </c>
      <c r="I860" s="4">
        <v>0</v>
      </c>
    </row>
    <row r="861" spans="1:9" x14ac:dyDescent="0.15">
      <c r="A861" s="2">
        <v>12</v>
      </c>
      <c r="B861" s="1" t="s">
        <v>142</v>
      </c>
      <c r="C861" s="4">
        <v>22</v>
      </c>
      <c r="D861" s="8">
        <v>1.94</v>
      </c>
      <c r="E861" s="4">
        <v>13</v>
      </c>
      <c r="F861" s="8">
        <v>2.1</v>
      </c>
      <c r="G861" s="4">
        <v>9</v>
      </c>
      <c r="H861" s="8">
        <v>1.76</v>
      </c>
      <c r="I861" s="4">
        <v>0</v>
      </c>
    </row>
    <row r="862" spans="1:9" x14ac:dyDescent="0.15">
      <c r="A862" s="2">
        <v>13</v>
      </c>
      <c r="B862" s="1" t="s">
        <v>147</v>
      </c>
      <c r="C862" s="4">
        <v>19</v>
      </c>
      <c r="D862" s="8">
        <v>1.68</v>
      </c>
      <c r="E862" s="4">
        <v>9</v>
      </c>
      <c r="F862" s="8">
        <v>1.45</v>
      </c>
      <c r="G862" s="4">
        <v>10</v>
      </c>
      <c r="H862" s="8">
        <v>1.95</v>
      </c>
      <c r="I862" s="4">
        <v>0</v>
      </c>
    </row>
    <row r="863" spans="1:9" x14ac:dyDescent="0.15">
      <c r="A863" s="2">
        <v>13</v>
      </c>
      <c r="B863" s="1" t="s">
        <v>170</v>
      </c>
      <c r="C863" s="4">
        <v>19</v>
      </c>
      <c r="D863" s="8">
        <v>1.68</v>
      </c>
      <c r="E863" s="4">
        <v>14</v>
      </c>
      <c r="F863" s="8">
        <v>2.2599999999999998</v>
      </c>
      <c r="G863" s="4">
        <v>4</v>
      </c>
      <c r="H863" s="8">
        <v>0.78</v>
      </c>
      <c r="I863" s="4">
        <v>1</v>
      </c>
    </row>
    <row r="864" spans="1:9" x14ac:dyDescent="0.15">
      <c r="A864" s="2">
        <v>15</v>
      </c>
      <c r="B864" s="1" t="s">
        <v>173</v>
      </c>
      <c r="C864" s="4">
        <v>18</v>
      </c>
      <c r="D864" s="8">
        <v>1.59</v>
      </c>
      <c r="E864" s="4">
        <v>10</v>
      </c>
      <c r="F864" s="8">
        <v>1.61</v>
      </c>
      <c r="G864" s="4">
        <v>8</v>
      </c>
      <c r="H864" s="8">
        <v>1.56</v>
      </c>
      <c r="I864" s="4">
        <v>0</v>
      </c>
    </row>
    <row r="865" spans="1:9" x14ac:dyDescent="0.15">
      <c r="A865" s="2">
        <v>15</v>
      </c>
      <c r="B865" s="1" t="s">
        <v>149</v>
      </c>
      <c r="C865" s="4">
        <v>18</v>
      </c>
      <c r="D865" s="8">
        <v>1.59</v>
      </c>
      <c r="E865" s="4">
        <v>1</v>
      </c>
      <c r="F865" s="8">
        <v>0.16</v>
      </c>
      <c r="G865" s="4">
        <v>16</v>
      </c>
      <c r="H865" s="8">
        <v>3.13</v>
      </c>
      <c r="I865" s="4">
        <v>1</v>
      </c>
    </row>
    <row r="866" spans="1:9" x14ac:dyDescent="0.15">
      <c r="A866" s="2">
        <v>15</v>
      </c>
      <c r="B866" s="1" t="s">
        <v>152</v>
      </c>
      <c r="C866" s="4">
        <v>18</v>
      </c>
      <c r="D866" s="8">
        <v>1.59</v>
      </c>
      <c r="E866" s="4">
        <v>18</v>
      </c>
      <c r="F866" s="8">
        <v>2.9</v>
      </c>
      <c r="G866" s="4">
        <v>0</v>
      </c>
      <c r="H866" s="8">
        <v>0</v>
      </c>
      <c r="I866" s="4">
        <v>0</v>
      </c>
    </row>
    <row r="867" spans="1:9" x14ac:dyDescent="0.15">
      <c r="A867" s="2">
        <v>18</v>
      </c>
      <c r="B867" s="1" t="s">
        <v>158</v>
      </c>
      <c r="C867" s="4">
        <v>17</v>
      </c>
      <c r="D867" s="8">
        <v>1.5</v>
      </c>
      <c r="E867" s="4">
        <v>4</v>
      </c>
      <c r="F867" s="8">
        <v>0.65</v>
      </c>
      <c r="G867" s="4">
        <v>13</v>
      </c>
      <c r="H867" s="8">
        <v>2.54</v>
      </c>
      <c r="I867" s="4">
        <v>0</v>
      </c>
    </row>
    <row r="868" spans="1:9" x14ac:dyDescent="0.15">
      <c r="A868" s="2">
        <v>19</v>
      </c>
      <c r="B868" s="1" t="s">
        <v>146</v>
      </c>
      <c r="C868" s="4">
        <v>16</v>
      </c>
      <c r="D868" s="8">
        <v>1.41</v>
      </c>
      <c r="E868" s="4">
        <v>1</v>
      </c>
      <c r="F868" s="8">
        <v>0.16</v>
      </c>
      <c r="G868" s="4">
        <v>15</v>
      </c>
      <c r="H868" s="8">
        <v>2.93</v>
      </c>
      <c r="I868" s="4">
        <v>0</v>
      </c>
    </row>
    <row r="869" spans="1:9" x14ac:dyDescent="0.15">
      <c r="A869" s="2">
        <v>20</v>
      </c>
      <c r="B869" s="1" t="s">
        <v>163</v>
      </c>
      <c r="C869" s="4">
        <v>15</v>
      </c>
      <c r="D869" s="8">
        <v>1.32</v>
      </c>
      <c r="E869" s="4">
        <v>15</v>
      </c>
      <c r="F869" s="8">
        <v>2.42</v>
      </c>
      <c r="G869" s="4">
        <v>0</v>
      </c>
      <c r="H869" s="8">
        <v>0</v>
      </c>
      <c r="I869" s="4">
        <v>0</v>
      </c>
    </row>
    <row r="870" spans="1:9" x14ac:dyDescent="0.15">
      <c r="A870" s="1"/>
      <c r="C870" s="4"/>
      <c r="D870" s="8"/>
      <c r="E870" s="4"/>
      <c r="F870" s="8"/>
      <c r="G870" s="4"/>
      <c r="H870" s="8"/>
      <c r="I870" s="4"/>
    </row>
    <row r="871" spans="1:9" x14ac:dyDescent="0.15">
      <c r="A871" s="1" t="s">
        <v>39</v>
      </c>
      <c r="C871" s="4"/>
      <c r="D871" s="8"/>
      <c r="E871" s="4"/>
      <c r="F871" s="8"/>
      <c r="G871" s="4"/>
      <c r="H871" s="8"/>
      <c r="I871" s="4"/>
    </row>
    <row r="872" spans="1:9" x14ac:dyDescent="0.15">
      <c r="A872" s="2">
        <v>1</v>
      </c>
      <c r="B872" s="1" t="s">
        <v>155</v>
      </c>
      <c r="C872" s="4">
        <v>60</v>
      </c>
      <c r="D872" s="8">
        <v>5.21</v>
      </c>
      <c r="E872" s="4">
        <v>52</v>
      </c>
      <c r="F872" s="8">
        <v>7.64</v>
      </c>
      <c r="G872" s="4">
        <v>8</v>
      </c>
      <c r="H872" s="8">
        <v>1.7</v>
      </c>
      <c r="I872" s="4">
        <v>0</v>
      </c>
    </row>
    <row r="873" spans="1:9" x14ac:dyDescent="0.15">
      <c r="A873" s="2">
        <v>2</v>
      </c>
      <c r="B873" s="1" t="s">
        <v>152</v>
      </c>
      <c r="C873" s="4">
        <v>45</v>
      </c>
      <c r="D873" s="8">
        <v>3.91</v>
      </c>
      <c r="E873" s="4">
        <v>44</v>
      </c>
      <c r="F873" s="8">
        <v>6.46</v>
      </c>
      <c r="G873" s="4">
        <v>1</v>
      </c>
      <c r="H873" s="8">
        <v>0.21</v>
      </c>
      <c r="I873" s="4">
        <v>0</v>
      </c>
    </row>
    <row r="874" spans="1:9" x14ac:dyDescent="0.15">
      <c r="A874" s="2">
        <v>3</v>
      </c>
      <c r="B874" s="1" t="s">
        <v>148</v>
      </c>
      <c r="C874" s="4">
        <v>44</v>
      </c>
      <c r="D874" s="8">
        <v>3.82</v>
      </c>
      <c r="E874" s="4">
        <v>32</v>
      </c>
      <c r="F874" s="8">
        <v>4.7</v>
      </c>
      <c r="G874" s="4">
        <v>12</v>
      </c>
      <c r="H874" s="8">
        <v>2.5499999999999998</v>
      </c>
      <c r="I874" s="4">
        <v>0</v>
      </c>
    </row>
    <row r="875" spans="1:9" x14ac:dyDescent="0.15">
      <c r="A875" s="2">
        <v>4</v>
      </c>
      <c r="B875" s="1" t="s">
        <v>154</v>
      </c>
      <c r="C875" s="4">
        <v>43</v>
      </c>
      <c r="D875" s="8">
        <v>3.73</v>
      </c>
      <c r="E875" s="4">
        <v>41</v>
      </c>
      <c r="F875" s="8">
        <v>6.02</v>
      </c>
      <c r="G875" s="4">
        <v>2</v>
      </c>
      <c r="H875" s="8">
        <v>0.43</v>
      </c>
      <c r="I875" s="4">
        <v>0</v>
      </c>
    </row>
    <row r="876" spans="1:9" x14ac:dyDescent="0.15">
      <c r="A876" s="2">
        <v>5</v>
      </c>
      <c r="B876" s="1" t="s">
        <v>186</v>
      </c>
      <c r="C876" s="4">
        <v>40</v>
      </c>
      <c r="D876" s="8">
        <v>3.47</v>
      </c>
      <c r="E876" s="4">
        <v>8</v>
      </c>
      <c r="F876" s="8">
        <v>1.17</v>
      </c>
      <c r="G876" s="4">
        <v>32</v>
      </c>
      <c r="H876" s="8">
        <v>6.81</v>
      </c>
      <c r="I876" s="4">
        <v>0</v>
      </c>
    </row>
    <row r="877" spans="1:9" x14ac:dyDescent="0.15">
      <c r="A877" s="2">
        <v>6</v>
      </c>
      <c r="B877" s="1" t="s">
        <v>151</v>
      </c>
      <c r="C877" s="4">
        <v>39</v>
      </c>
      <c r="D877" s="8">
        <v>3.39</v>
      </c>
      <c r="E877" s="4">
        <v>35</v>
      </c>
      <c r="F877" s="8">
        <v>5.14</v>
      </c>
      <c r="G877" s="4">
        <v>4</v>
      </c>
      <c r="H877" s="8">
        <v>0.85</v>
      </c>
      <c r="I877" s="4">
        <v>0</v>
      </c>
    </row>
    <row r="878" spans="1:9" x14ac:dyDescent="0.15">
      <c r="A878" s="2">
        <v>7</v>
      </c>
      <c r="B878" s="1" t="s">
        <v>174</v>
      </c>
      <c r="C878" s="4">
        <v>37</v>
      </c>
      <c r="D878" s="8">
        <v>3.21</v>
      </c>
      <c r="E878" s="4">
        <v>23</v>
      </c>
      <c r="F878" s="8">
        <v>3.38</v>
      </c>
      <c r="G878" s="4">
        <v>14</v>
      </c>
      <c r="H878" s="8">
        <v>2.98</v>
      </c>
      <c r="I878" s="4">
        <v>0</v>
      </c>
    </row>
    <row r="879" spans="1:9" x14ac:dyDescent="0.15">
      <c r="A879" s="2">
        <v>8</v>
      </c>
      <c r="B879" s="1" t="s">
        <v>150</v>
      </c>
      <c r="C879" s="4">
        <v>36</v>
      </c>
      <c r="D879" s="8">
        <v>3.13</v>
      </c>
      <c r="E879" s="4">
        <v>27</v>
      </c>
      <c r="F879" s="8">
        <v>3.96</v>
      </c>
      <c r="G879" s="4">
        <v>9</v>
      </c>
      <c r="H879" s="8">
        <v>1.91</v>
      </c>
      <c r="I879" s="4">
        <v>0</v>
      </c>
    </row>
    <row r="880" spans="1:9" x14ac:dyDescent="0.15">
      <c r="A880" s="2">
        <v>9</v>
      </c>
      <c r="B880" s="1" t="s">
        <v>145</v>
      </c>
      <c r="C880" s="4">
        <v>33</v>
      </c>
      <c r="D880" s="8">
        <v>2.86</v>
      </c>
      <c r="E880" s="4">
        <v>22</v>
      </c>
      <c r="F880" s="8">
        <v>3.23</v>
      </c>
      <c r="G880" s="4">
        <v>11</v>
      </c>
      <c r="H880" s="8">
        <v>2.34</v>
      </c>
      <c r="I880" s="4">
        <v>0</v>
      </c>
    </row>
    <row r="881" spans="1:9" x14ac:dyDescent="0.15">
      <c r="A881" s="2">
        <v>10</v>
      </c>
      <c r="B881" s="1" t="s">
        <v>143</v>
      </c>
      <c r="C881" s="4">
        <v>30</v>
      </c>
      <c r="D881" s="8">
        <v>2.6</v>
      </c>
      <c r="E881" s="4">
        <v>18</v>
      </c>
      <c r="F881" s="8">
        <v>2.64</v>
      </c>
      <c r="G881" s="4">
        <v>12</v>
      </c>
      <c r="H881" s="8">
        <v>2.5499999999999998</v>
      </c>
      <c r="I881" s="4">
        <v>0</v>
      </c>
    </row>
    <row r="882" spans="1:9" x14ac:dyDescent="0.15">
      <c r="A882" s="2">
        <v>10</v>
      </c>
      <c r="B882" s="1" t="s">
        <v>188</v>
      </c>
      <c r="C882" s="4">
        <v>30</v>
      </c>
      <c r="D882" s="8">
        <v>2.6</v>
      </c>
      <c r="E882" s="4">
        <v>27</v>
      </c>
      <c r="F882" s="8">
        <v>3.96</v>
      </c>
      <c r="G882" s="4">
        <v>3</v>
      </c>
      <c r="H882" s="8">
        <v>0.64</v>
      </c>
      <c r="I882" s="4">
        <v>0</v>
      </c>
    </row>
    <row r="883" spans="1:9" x14ac:dyDescent="0.15">
      <c r="A883" s="2">
        <v>12</v>
      </c>
      <c r="B883" s="1" t="s">
        <v>187</v>
      </c>
      <c r="C883" s="4">
        <v>26</v>
      </c>
      <c r="D883" s="8">
        <v>2.2599999999999998</v>
      </c>
      <c r="E883" s="4">
        <v>20</v>
      </c>
      <c r="F883" s="8">
        <v>2.94</v>
      </c>
      <c r="G883" s="4">
        <v>6</v>
      </c>
      <c r="H883" s="8">
        <v>1.28</v>
      </c>
      <c r="I883" s="4">
        <v>0</v>
      </c>
    </row>
    <row r="884" spans="1:9" x14ac:dyDescent="0.15">
      <c r="A884" s="2">
        <v>13</v>
      </c>
      <c r="B884" s="1" t="s">
        <v>157</v>
      </c>
      <c r="C884" s="4">
        <v>25</v>
      </c>
      <c r="D884" s="8">
        <v>2.17</v>
      </c>
      <c r="E884" s="4">
        <v>20</v>
      </c>
      <c r="F884" s="8">
        <v>2.94</v>
      </c>
      <c r="G884" s="4">
        <v>5</v>
      </c>
      <c r="H884" s="8">
        <v>1.06</v>
      </c>
      <c r="I884" s="4">
        <v>0</v>
      </c>
    </row>
    <row r="885" spans="1:9" x14ac:dyDescent="0.15">
      <c r="A885" s="2">
        <v>14</v>
      </c>
      <c r="B885" s="1" t="s">
        <v>138</v>
      </c>
      <c r="C885" s="4">
        <v>23</v>
      </c>
      <c r="D885" s="8">
        <v>2</v>
      </c>
      <c r="E885" s="4">
        <v>4</v>
      </c>
      <c r="F885" s="8">
        <v>0.59</v>
      </c>
      <c r="G885" s="4">
        <v>19</v>
      </c>
      <c r="H885" s="8">
        <v>4.04</v>
      </c>
      <c r="I885" s="4">
        <v>0</v>
      </c>
    </row>
    <row r="886" spans="1:9" x14ac:dyDescent="0.15">
      <c r="A886" s="2">
        <v>15</v>
      </c>
      <c r="B886" s="1" t="s">
        <v>139</v>
      </c>
      <c r="C886" s="4">
        <v>21</v>
      </c>
      <c r="D886" s="8">
        <v>1.82</v>
      </c>
      <c r="E886" s="4">
        <v>8</v>
      </c>
      <c r="F886" s="8">
        <v>1.17</v>
      </c>
      <c r="G886" s="4">
        <v>13</v>
      </c>
      <c r="H886" s="8">
        <v>2.77</v>
      </c>
      <c r="I886" s="4">
        <v>0</v>
      </c>
    </row>
    <row r="887" spans="1:9" x14ac:dyDescent="0.15">
      <c r="A887" s="2">
        <v>16</v>
      </c>
      <c r="B887" s="1" t="s">
        <v>166</v>
      </c>
      <c r="C887" s="4">
        <v>20</v>
      </c>
      <c r="D887" s="8">
        <v>1.74</v>
      </c>
      <c r="E887" s="4">
        <v>14</v>
      </c>
      <c r="F887" s="8">
        <v>2.06</v>
      </c>
      <c r="G887" s="4">
        <v>6</v>
      </c>
      <c r="H887" s="8">
        <v>1.28</v>
      </c>
      <c r="I887" s="4">
        <v>0</v>
      </c>
    </row>
    <row r="888" spans="1:9" x14ac:dyDescent="0.15">
      <c r="A888" s="2">
        <v>16</v>
      </c>
      <c r="B888" s="1" t="s">
        <v>170</v>
      </c>
      <c r="C888" s="4">
        <v>20</v>
      </c>
      <c r="D888" s="8">
        <v>1.74</v>
      </c>
      <c r="E888" s="4">
        <v>20</v>
      </c>
      <c r="F888" s="8">
        <v>2.94</v>
      </c>
      <c r="G888" s="4">
        <v>0</v>
      </c>
      <c r="H888" s="8">
        <v>0</v>
      </c>
      <c r="I888" s="4">
        <v>0</v>
      </c>
    </row>
    <row r="889" spans="1:9" x14ac:dyDescent="0.15">
      <c r="A889" s="2">
        <v>16</v>
      </c>
      <c r="B889" s="1" t="s">
        <v>156</v>
      </c>
      <c r="C889" s="4">
        <v>20</v>
      </c>
      <c r="D889" s="8">
        <v>1.74</v>
      </c>
      <c r="E889" s="4">
        <v>16</v>
      </c>
      <c r="F889" s="8">
        <v>2.35</v>
      </c>
      <c r="G889" s="4">
        <v>4</v>
      </c>
      <c r="H889" s="8">
        <v>0.85</v>
      </c>
      <c r="I889" s="4">
        <v>0</v>
      </c>
    </row>
    <row r="890" spans="1:9" x14ac:dyDescent="0.15">
      <c r="A890" s="2">
        <v>19</v>
      </c>
      <c r="B890" s="1" t="s">
        <v>183</v>
      </c>
      <c r="C890" s="4">
        <v>19</v>
      </c>
      <c r="D890" s="8">
        <v>1.65</v>
      </c>
      <c r="E890" s="4">
        <v>18</v>
      </c>
      <c r="F890" s="8">
        <v>2.64</v>
      </c>
      <c r="G890" s="4">
        <v>1</v>
      </c>
      <c r="H890" s="8">
        <v>0.21</v>
      </c>
      <c r="I890" s="4">
        <v>0</v>
      </c>
    </row>
    <row r="891" spans="1:9" x14ac:dyDescent="0.15">
      <c r="A891" s="2">
        <v>20</v>
      </c>
      <c r="B891" s="1" t="s">
        <v>144</v>
      </c>
      <c r="C891" s="4">
        <v>17</v>
      </c>
      <c r="D891" s="8">
        <v>1.48</v>
      </c>
      <c r="E891" s="4">
        <v>3</v>
      </c>
      <c r="F891" s="8">
        <v>0.44</v>
      </c>
      <c r="G891" s="4">
        <v>14</v>
      </c>
      <c r="H891" s="8">
        <v>2.98</v>
      </c>
      <c r="I891" s="4">
        <v>0</v>
      </c>
    </row>
    <row r="892" spans="1:9" x14ac:dyDescent="0.15">
      <c r="A892" s="1"/>
      <c r="C892" s="4"/>
      <c r="D892" s="8"/>
      <c r="E892" s="4"/>
      <c r="F892" s="8"/>
      <c r="G892" s="4"/>
      <c r="H892" s="8"/>
      <c r="I892" s="4"/>
    </row>
    <row r="893" spans="1:9" x14ac:dyDescent="0.15">
      <c r="A893" s="1" t="s">
        <v>40</v>
      </c>
      <c r="C893" s="4"/>
      <c r="D893" s="8"/>
      <c r="E893" s="4"/>
      <c r="F893" s="8"/>
      <c r="G893" s="4"/>
      <c r="H893" s="8"/>
      <c r="I893" s="4"/>
    </row>
    <row r="894" spans="1:9" x14ac:dyDescent="0.15">
      <c r="A894" s="2">
        <v>1</v>
      </c>
      <c r="B894" s="1" t="s">
        <v>148</v>
      </c>
      <c r="C894" s="4">
        <v>176</v>
      </c>
      <c r="D894" s="8">
        <v>6.41</v>
      </c>
      <c r="E894" s="4">
        <v>131</v>
      </c>
      <c r="F894" s="8">
        <v>9.4</v>
      </c>
      <c r="G894" s="4">
        <v>45</v>
      </c>
      <c r="H894" s="8">
        <v>3.33</v>
      </c>
      <c r="I894" s="4">
        <v>0</v>
      </c>
    </row>
    <row r="895" spans="1:9" x14ac:dyDescent="0.15">
      <c r="A895" s="2">
        <v>2</v>
      </c>
      <c r="B895" s="1" t="s">
        <v>155</v>
      </c>
      <c r="C895" s="4">
        <v>163</v>
      </c>
      <c r="D895" s="8">
        <v>5.94</v>
      </c>
      <c r="E895" s="4">
        <v>134</v>
      </c>
      <c r="F895" s="8">
        <v>9.6199999999999992</v>
      </c>
      <c r="G895" s="4">
        <v>29</v>
      </c>
      <c r="H895" s="8">
        <v>2.15</v>
      </c>
      <c r="I895" s="4">
        <v>0</v>
      </c>
    </row>
    <row r="896" spans="1:9" x14ac:dyDescent="0.15">
      <c r="A896" s="2">
        <v>3</v>
      </c>
      <c r="B896" s="1" t="s">
        <v>156</v>
      </c>
      <c r="C896" s="4">
        <v>102</v>
      </c>
      <c r="D896" s="8">
        <v>3.71</v>
      </c>
      <c r="E896" s="4">
        <v>88</v>
      </c>
      <c r="F896" s="8">
        <v>6.32</v>
      </c>
      <c r="G896" s="4">
        <v>14</v>
      </c>
      <c r="H896" s="8">
        <v>1.04</v>
      </c>
      <c r="I896" s="4">
        <v>0</v>
      </c>
    </row>
    <row r="897" spans="1:9" x14ac:dyDescent="0.15">
      <c r="A897" s="2">
        <v>4</v>
      </c>
      <c r="B897" s="1" t="s">
        <v>154</v>
      </c>
      <c r="C897" s="4">
        <v>85</v>
      </c>
      <c r="D897" s="8">
        <v>3.1</v>
      </c>
      <c r="E897" s="4">
        <v>75</v>
      </c>
      <c r="F897" s="8">
        <v>5.38</v>
      </c>
      <c r="G897" s="4">
        <v>10</v>
      </c>
      <c r="H897" s="8">
        <v>0.74</v>
      </c>
      <c r="I897" s="4">
        <v>0</v>
      </c>
    </row>
    <row r="898" spans="1:9" x14ac:dyDescent="0.15">
      <c r="A898" s="2">
        <v>5</v>
      </c>
      <c r="B898" s="1" t="s">
        <v>150</v>
      </c>
      <c r="C898" s="4">
        <v>82</v>
      </c>
      <c r="D898" s="8">
        <v>2.99</v>
      </c>
      <c r="E898" s="4">
        <v>68</v>
      </c>
      <c r="F898" s="8">
        <v>4.88</v>
      </c>
      <c r="G898" s="4">
        <v>14</v>
      </c>
      <c r="H898" s="8">
        <v>1.04</v>
      </c>
      <c r="I898" s="4">
        <v>0</v>
      </c>
    </row>
    <row r="899" spans="1:9" x14ac:dyDescent="0.15">
      <c r="A899" s="2">
        <v>6</v>
      </c>
      <c r="B899" s="1" t="s">
        <v>157</v>
      </c>
      <c r="C899" s="4">
        <v>69</v>
      </c>
      <c r="D899" s="8">
        <v>2.5099999999999998</v>
      </c>
      <c r="E899" s="4">
        <v>59</v>
      </c>
      <c r="F899" s="8">
        <v>4.24</v>
      </c>
      <c r="G899" s="4">
        <v>10</v>
      </c>
      <c r="H899" s="8">
        <v>0.74</v>
      </c>
      <c r="I899" s="4">
        <v>0</v>
      </c>
    </row>
    <row r="900" spans="1:9" x14ac:dyDescent="0.15">
      <c r="A900" s="2">
        <v>7</v>
      </c>
      <c r="B900" s="1" t="s">
        <v>151</v>
      </c>
      <c r="C900" s="4">
        <v>68</v>
      </c>
      <c r="D900" s="8">
        <v>2.48</v>
      </c>
      <c r="E900" s="4">
        <v>60</v>
      </c>
      <c r="F900" s="8">
        <v>4.3099999999999996</v>
      </c>
      <c r="G900" s="4">
        <v>8</v>
      </c>
      <c r="H900" s="8">
        <v>0.59</v>
      </c>
      <c r="I900" s="4">
        <v>0</v>
      </c>
    </row>
    <row r="901" spans="1:9" x14ac:dyDescent="0.15">
      <c r="A901" s="2">
        <v>8</v>
      </c>
      <c r="B901" s="1" t="s">
        <v>152</v>
      </c>
      <c r="C901" s="4">
        <v>60</v>
      </c>
      <c r="D901" s="8">
        <v>2.1800000000000002</v>
      </c>
      <c r="E901" s="4">
        <v>59</v>
      </c>
      <c r="F901" s="8">
        <v>4.24</v>
      </c>
      <c r="G901" s="4">
        <v>1</v>
      </c>
      <c r="H901" s="8">
        <v>7.0000000000000007E-2</v>
      </c>
      <c r="I901" s="4">
        <v>0</v>
      </c>
    </row>
    <row r="902" spans="1:9" x14ac:dyDescent="0.15">
      <c r="A902" s="2">
        <v>9</v>
      </c>
      <c r="B902" s="1" t="s">
        <v>143</v>
      </c>
      <c r="C902" s="4">
        <v>59</v>
      </c>
      <c r="D902" s="8">
        <v>2.15</v>
      </c>
      <c r="E902" s="4">
        <v>32</v>
      </c>
      <c r="F902" s="8">
        <v>2.2999999999999998</v>
      </c>
      <c r="G902" s="4">
        <v>27</v>
      </c>
      <c r="H902" s="8">
        <v>2</v>
      </c>
      <c r="I902" s="4">
        <v>0</v>
      </c>
    </row>
    <row r="903" spans="1:9" x14ac:dyDescent="0.15">
      <c r="A903" s="2">
        <v>9</v>
      </c>
      <c r="B903" s="1" t="s">
        <v>145</v>
      </c>
      <c r="C903" s="4">
        <v>59</v>
      </c>
      <c r="D903" s="8">
        <v>2.15</v>
      </c>
      <c r="E903" s="4">
        <v>31</v>
      </c>
      <c r="F903" s="8">
        <v>2.23</v>
      </c>
      <c r="G903" s="4">
        <v>28</v>
      </c>
      <c r="H903" s="8">
        <v>2.0699999999999998</v>
      </c>
      <c r="I903" s="4">
        <v>0</v>
      </c>
    </row>
    <row r="904" spans="1:9" x14ac:dyDescent="0.15">
      <c r="A904" s="2">
        <v>11</v>
      </c>
      <c r="B904" s="1" t="s">
        <v>138</v>
      </c>
      <c r="C904" s="4">
        <v>57</v>
      </c>
      <c r="D904" s="8">
        <v>2.08</v>
      </c>
      <c r="E904" s="4">
        <v>7</v>
      </c>
      <c r="F904" s="8">
        <v>0.5</v>
      </c>
      <c r="G904" s="4">
        <v>50</v>
      </c>
      <c r="H904" s="8">
        <v>3.7</v>
      </c>
      <c r="I904" s="4">
        <v>0</v>
      </c>
    </row>
    <row r="905" spans="1:9" x14ac:dyDescent="0.15">
      <c r="A905" s="2">
        <v>12</v>
      </c>
      <c r="B905" s="1" t="s">
        <v>144</v>
      </c>
      <c r="C905" s="4">
        <v>52</v>
      </c>
      <c r="D905" s="8">
        <v>1.89</v>
      </c>
      <c r="E905" s="4">
        <v>19</v>
      </c>
      <c r="F905" s="8">
        <v>1.36</v>
      </c>
      <c r="G905" s="4">
        <v>33</v>
      </c>
      <c r="H905" s="8">
        <v>2.44</v>
      </c>
      <c r="I905" s="4">
        <v>0</v>
      </c>
    </row>
    <row r="906" spans="1:9" x14ac:dyDescent="0.15">
      <c r="A906" s="2">
        <v>13</v>
      </c>
      <c r="B906" s="1" t="s">
        <v>146</v>
      </c>
      <c r="C906" s="4">
        <v>50</v>
      </c>
      <c r="D906" s="8">
        <v>1.82</v>
      </c>
      <c r="E906" s="4">
        <v>7</v>
      </c>
      <c r="F906" s="8">
        <v>0.5</v>
      </c>
      <c r="G906" s="4">
        <v>43</v>
      </c>
      <c r="H906" s="8">
        <v>3.19</v>
      </c>
      <c r="I906" s="4">
        <v>0</v>
      </c>
    </row>
    <row r="907" spans="1:9" x14ac:dyDescent="0.15">
      <c r="A907" s="2">
        <v>14</v>
      </c>
      <c r="B907" s="1" t="s">
        <v>140</v>
      </c>
      <c r="C907" s="4">
        <v>49</v>
      </c>
      <c r="D907" s="8">
        <v>1.78</v>
      </c>
      <c r="E907" s="4">
        <v>10</v>
      </c>
      <c r="F907" s="8">
        <v>0.72</v>
      </c>
      <c r="G907" s="4">
        <v>39</v>
      </c>
      <c r="H907" s="8">
        <v>2.89</v>
      </c>
      <c r="I907" s="4">
        <v>0</v>
      </c>
    </row>
    <row r="908" spans="1:9" x14ac:dyDescent="0.15">
      <c r="A908" s="2">
        <v>15</v>
      </c>
      <c r="B908" s="1" t="s">
        <v>139</v>
      </c>
      <c r="C908" s="4">
        <v>46</v>
      </c>
      <c r="D908" s="8">
        <v>1.68</v>
      </c>
      <c r="E908" s="4">
        <v>5</v>
      </c>
      <c r="F908" s="8">
        <v>0.36</v>
      </c>
      <c r="G908" s="4">
        <v>41</v>
      </c>
      <c r="H908" s="8">
        <v>3.04</v>
      </c>
      <c r="I908" s="4">
        <v>0</v>
      </c>
    </row>
    <row r="909" spans="1:9" x14ac:dyDescent="0.15">
      <c r="A909" s="2">
        <v>16</v>
      </c>
      <c r="B909" s="1" t="s">
        <v>174</v>
      </c>
      <c r="C909" s="4">
        <v>44</v>
      </c>
      <c r="D909" s="8">
        <v>1.6</v>
      </c>
      <c r="E909" s="4">
        <v>15</v>
      </c>
      <c r="F909" s="8">
        <v>1.08</v>
      </c>
      <c r="G909" s="4">
        <v>29</v>
      </c>
      <c r="H909" s="8">
        <v>2.15</v>
      </c>
      <c r="I909" s="4">
        <v>0</v>
      </c>
    </row>
    <row r="910" spans="1:9" x14ac:dyDescent="0.15">
      <c r="A910" s="2">
        <v>17</v>
      </c>
      <c r="B910" s="1" t="s">
        <v>175</v>
      </c>
      <c r="C910" s="4">
        <v>43</v>
      </c>
      <c r="D910" s="8">
        <v>1.57</v>
      </c>
      <c r="E910" s="4">
        <v>25</v>
      </c>
      <c r="F910" s="8">
        <v>1.79</v>
      </c>
      <c r="G910" s="4">
        <v>18</v>
      </c>
      <c r="H910" s="8">
        <v>1.33</v>
      </c>
      <c r="I910" s="4">
        <v>0</v>
      </c>
    </row>
    <row r="911" spans="1:9" x14ac:dyDescent="0.15">
      <c r="A911" s="2">
        <v>18</v>
      </c>
      <c r="B911" s="1" t="s">
        <v>149</v>
      </c>
      <c r="C911" s="4">
        <v>42</v>
      </c>
      <c r="D911" s="8">
        <v>1.53</v>
      </c>
      <c r="E911" s="4">
        <v>4</v>
      </c>
      <c r="F911" s="8">
        <v>0.28999999999999998</v>
      </c>
      <c r="G911" s="4">
        <v>38</v>
      </c>
      <c r="H911" s="8">
        <v>2.81</v>
      </c>
      <c r="I911" s="4">
        <v>0</v>
      </c>
    </row>
    <row r="912" spans="1:9" x14ac:dyDescent="0.15">
      <c r="A912" s="2">
        <v>19</v>
      </c>
      <c r="B912" s="1" t="s">
        <v>141</v>
      </c>
      <c r="C912" s="4">
        <v>40</v>
      </c>
      <c r="D912" s="8">
        <v>1.46</v>
      </c>
      <c r="E912" s="4">
        <v>5</v>
      </c>
      <c r="F912" s="8">
        <v>0.36</v>
      </c>
      <c r="G912" s="4">
        <v>35</v>
      </c>
      <c r="H912" s="8">
        <v>2.59</v>
      </c>
      <c r="I912" s="4">
        <v>0</v>
      </c>
    </row>
    <row r="913" spans="1:9" x14ac:dyDescent="0.15">
      <c r="A913" s="2">
        <v>20</v>
      </c>
      <c r="B913" s="1" t="s">
        <v>166</v>
      </c>
      <c r="C913" s="4">
        <v>39</v>
      </c>
      <c r="D913" s="8">
        <v>1.42</v>
      </c>
      <c r="E913" s="4">
        <v>29</v>
      </c>
      <c r="F913" s="8">
        <v>2.08</v>
      </c>
      <c r="G913" s="4">
        <v>10</v>
      </c>
      <c r="H913" s="8">
        <v>0.74</v>
      </c>
      <c r="I913" s="4">
        <v>0</v>
      </c>
    </row>
    <row r="914" spans="1:9" x14ac:dyDescent="0.15">
      <c r="A914" s="1"/>
      <c r="C914" s="4"/>
      <c r="D914" s="8"/>
      <c r="E914" s="4"/>
      <c r="F914" s="8"/>
      <c r="G914" s="4"/>
      <c r="H914" s="8"/>
      <c r="I914" s="4"/>
    </row>
    <row r="915" spans="1:9" x14ac:dyDescent="0.15">
      <c r="A915" s="1" t="s">
        <v>41</v>
      </c>
      <c r="C915" s="4"/>
      <c r="D915" s="8"/>
      <c r="E915" s="4"/>
      <c r="F915" s="8"/>
      <c r="G915" s="4"/>
      <c r="H915" s="8"/>
      <c r="I915" s="4"/>
    </row>
    <row r="916" spans="1:9" x14ac:dyDescent="0.15">
      <c r="A916" s="2">
        <v>1</v>
      </c>
      <c r="B916" s="1" t="s">
        <v>148</v>
      </c>
      <c r="C916" s="4">
        <v>499</v>
      </c>
      <c r="D916" s="8">
        <v>9.68</v>
      </c>
      <c r="E916" s="4">
        <v>394</v>
      </c>
      <c r="F916" s="8">
        <v>17.739999999999998</v>
      </c>
      <c r="G916" s="4">
        <v>104</v>
      </c>
      <c r="H916" s="8">
        <v>3.56</v>
      </c>
      <c r="I916" s="4">
        <v>1</v>
      </c>
    </row>
    <row r="917" spans="1:9" x14ac:dyDescent="0.15">
      <c r="A917" s="2">
        <v>2</v>
      </c>
      <c r="B917" s="1" t="s">
        <v>147</v>
      </c>
      <c r="C917" s="4">
        <v>218</v>
      </c>
      <c r="D917" s="8">
        <v>4.2300000000000004</v>
      </c>
      <c r="E917" s="4">
        <v>113</v>
      </c>
      <c r="F917" s="8">
        <v>5.09</v>
      </c>
      <c r="G917" s="4">
        <v>105</v>
      </c>
      <c r="H917" s="8">
        <v>3.59</v>
      </c>
      <c r="I917" s="4">
        <v>0</v>
      </c>
    </row>
    <row r="918" spans="1:9" x14ac:dyDescent="0.15">
      <c r="A918" s="2">
        <v>3</v>
      </c>
      <c r="B918" s="1" t="s">
        <v>155</v>
      </c>
      <c r="C918" s="4">
        <v>186</v>
      </c>
      <c r="D918" s="8">
        <v>3.61</v>
      </c>
      <c r="E918" s="4">
        <v>136</v>
      </c>
      <c r="F918" s="8">
        <v>6.12</v>
      </c>
      <c r="G918" s="4">
        <v>50</v>
      </c>
      <c r="H918" s="8">
        <v>1.71</v>
      </c>
      <c r="I918" s="4">
        <v>0</v>
      </c>
    </row>
    <row r="919" spans="1:9" x14ac:dyDescent="0.15">
      <c r="A919" s="2">
        <v>4</v>
      </c>
      <c r="B919" s="1" t="s">
        <v>149</v>
      </c>
      <c r="C919" s="4">
        <v>136</v>
      </c>
      <c r="D919" s="8">
        <v>2.64</v>
      </c>
      <c r="E919" s="4">
        <v>19</v>
      </c>
      <c r="F919" s="8">
        <v>0.86</v>
      </c>
      <c r="G919" s="4">
        <v>116</v>
      </c>
      <c r="H919" s="8">
        <v>3.97</v>
      </c>
      <c r="I919" s="4">
        <v>1</v>
      </c>
    </row>
    <row r="920" spans="1:9" x14ac:dyDescent="0.15">
      <c r="A920" s="2">
        <v>5</v>
      </c>
      <c r="B920" s="1" t="s">
        <v>151</v>
      </c>
      <c r="C920" s="4">
        <v>120</v>
      </c>
      <c r="D920" s="8">
        <v>2.33</v>
      </c>
      <c r="E920" s="4">
        <v>111</v>
      </c>
      <c r="F920" s="8">
        <v>5</v>
      </c>
      <c r="G920" s="4">
        <v>9</v>
      </c>
      <c r="H920" s="8">
        <v>0.31</v>
      </c>
      <c r="I920" s="4">
        <v>0</v>
      </c>
    </row>
    <row r="921" spans="1:9" x14ac:dyDescent="0.15">
      <c r="A921" s="2">
        <v>6</v>
      </c>
      <c r="B921" s="1" t="s">
        <v>154</v>
      </c>
      <c r="C921" s="4">
        <v>117</v>
      </c>
      <c r="D921" s="8">
        <v>2.27</v>
      </c>
      <c r="E921" s="4">
        <v>111</v>
      </c>
      <c r="F921" s="8">
        <v>5</v>
      </c>
      <c r="G921" s="4">
        <v>6</v>
      </c>
      <c r="H921" s="8">
        <v>0.21</v>
      </c>
      <c r="I921" s="4">
        <v>0</v>
      </c>
    </row>
    <row r="922" spans="1:9" x14ac:dyDescent="0.15">
      <c r="A922" s="2">
        <v>7</v>
      </c>
      <c r="B922" s="1" t="s">
        <v>145</v>
      </c>
      <c r="C922" s="4">
        <v>109</v>
      </c>
      <c r="D922" s="8">
        <v>2.11</v>
      </c>
      <c r="E922" s="4">
        <v>56</v>
      </c>
      <c r="F922" s="8">
        <v>2.52</v>
      </c>
      <c r="G922" s="4">
        <v>53</v>
      </c>
      <c r="H922" s="8">
        <v>1.81</v>
      </c>
      <c r="I922" s="4">
        <v>0</v>
      </c>
    </row>
    <row r="923" spans="1:9" x14ac:dyDescent="0.15">
      <c r="A923" s="2">
        <v>8</v>
      </c>
      <c r="B923" s="1" t="s">
        <v>144</v>
      </c>
      <c r="C923" s="4">
        <v>107</v>
      </c>
      <c r="D923" s="8">
        <v>2.08</v>
      </c>
      <c r="E923" s="4">
        <v>37</v>
      </c>
      <c r="F923" s="8">
        <v>1.67</v>
      </c>
      <c r="G923" s="4">
        <v>70</v>
      </c>
      <c r="H923" s="8">
        <v>2.39</v>
      </c>
      <c r="I923" s="4">
        <v>0</v>
      </c>
    </row>
    <row r="924" spans="1:9" x14ac:dyDescent="0.15">
      <c r="A924" s="2">
        <v>8</v>
      </c>
      <c r="B924" s="1" t="s">
        <v>157</v>
      </c>
      <c r="C924" s="4">
        <v>107</v>
      </c>
      <c r="D924" s="8">
        <v>2.08</v>
      </c>
      <c r="E924" s="4">
        <v>88</v>
      </c>
      <c r="F924" s="8">
        <v>3.96</v>
      </c>
      <c r="G924" s="4">
        <v>19</v>
      </c>
      <c r="H924" s="8">
        <v>0.65</v>
      </c>
      <c r="I924" s="4">
        <v>0</v>
      </c>
    </row>
    <row r="925" spans="1:9" x14ac:dyDescent="0.15">
      <c r="A925" s="2">
        <v>10</v>
      </c>
      <c r="B925" s="1" t="s">
        <v>152</v>
      </c>
      <c r="C925" s="4">
        <v>106</v>
      </c>
      <c r="D925" s="8">
        <v>2.06</v>
      </c>
      <c r="E925" s="4">
        <v>97</v>
      </c>
      <c r="F925" s="8">
        <v>4.37</v>
      </c>
      <c r="G925" s="4">
        <v>9</v>
      </c>
      <c r="H925" s="8">
        <v>0.31</v>
      </c>
      <c r="I925" s="4">
        <v>0</v>
      </c>
    </row>
    <row r="926" spans="1:9" x14ac:dyDescent="0.15">
      <c r="A926" s="2">
        <v>10</v>
      </c>
      <c r="B926" s="1" t="s">
        <v>156</v>
      </c>
      <c r="C926" s="4">
        <v>106</v>
      </c>
      <c r="D926" s="8">
        <v>2.06</v>
      </c>
      <c r="E926" s="4">
        <v>72</v>
      </c>
      <c r="F926" s="8">
        <v>3.24</v>
      </c>
      <c r="G926" s="4">
        <v>34</v>
      </c>
      <c r="H926" s="8">
        <v>1.1599999999999999</v>
      </c>
      <c r="I926" s="4">
        <v>0</v>
      </c>
    </row>
    <row r="927" spans="1:9" x14ac:dyDescent="0.15">
      <c r="A927" s="2">
        <v>12</v>
      </c>
      <c r="B927" s="1" t="s">
        <v>150</v>
      </c>
      <c r="C927" s="4">
        <v>105</v>
      </c>
      <c r="D927" s="8">
        <v>2.04</v>
      </c>
      <c r="E927" s="4">
        <v>76</v>
      </c>
      <c r="F927" s="8">
        <v>3.42</v>
      </c>
      <c r="G927" s="4">
        <v>29</v>
      </c>
      <c r="H927" s="8">
        <v>0.99</v>
      </c>
      <c r="I927" s="4">
        <v>0</v>
      </c>
    </row>
    <row r="928" spans="1:9" x14ac:dyDescent="0.15">
      <c r="A928" s="2">
        <v>13</v>
      </c>
      <c r="B928" s="1" t="s">
        <v>138</v>
      </c>
      <c r="C928" s="4">
        <v>90</v>
      </c>
      <c r="D928" s="8">
        <v>1.75</v>
      </c>
      <c r="E928" s="4">
        <v>9</v>
      </c>
      <c r="F928" s="8">
        <v>0.41</v>
      </c>
      <c r="G928" s="4">
        <v>81</v>
      </c>
      <c r="H928" s="8">
        <v>2.77</v>
      </c>
      <c r="I928" s="4">
        <v>0</v>
      </c>
    </row>
    <row r="929" spans="1:9" x14ac:dyDescent="0.15">
      <c r="A929" s="2">
        <v>14</v>
      </c>
      <c r="B929" s="1" t="s">
        <v>140</v>
      </c>
      <c r="C929" s="4">
        <v>87</v>
      </c>
      <c r="D929" s="8">
        <v>1.69</v>
      </c>
      <c r="E929" s="4">
        <v>17</v>
      </c>
      <c r="F929" s="8">
        <v>0.77</v>
      </c>
      <c r="G929" s="4">
        <v>70</v>
      </c>
      <c r="H929" s="8">
        <v>2.39</v>
      </c>
      <c r="I929" s="4">
        <v>0</v>
      </c>
    </row>
    <row r="930" spans="1:9" x14ac:dyDescent="0.15">
      <c r="A930" s="2">
        <v>15</v>
      </c>
      <c r="B930" s="1" t="s">
        <v>141</v>
      </c>
      <c r="C930" s="4">
        <v>85</v>
      </c>
      <c r="D930" s="8">
        <v>1.65</v>
      </c>
      <c r="E930" s="4">
        <v>8</v>
      </c>
      <c r="F930" s="8">
        <v>0.36</v>
      </c>
      <c r="G930" s="4">
        <v>77</v>
      </c>
      <c r="H930" s="8">
        <v>2.63</v>
      </c>
      <c r="I930" s="4">
        <v>0</v>
      </c>
    </row>
    <row r="931" spans="1:9" x14ac:dyDescent="0.15">
      <c r="A931" s="2">
        <v>16</v>
      </c>
      <c r="B931" s="1" t="s">
        <v>139</v>
      </c>
      <c r="C931" s="4">
        <v>78</v>
      </c>
      <c r="D931" s="8">
        <v>1.51</v>
      </c>
      <c r="E931" s="4">
        <v>12</v>
      </c>
      <c r="F931" s="8">
        <v>0.54</v>
      </c>
      <c r="G931" s="4">
        <v>66</v>
      </c>
      <c r="H931" s="8">
        <v>2.2599999999999998</v>
      </c>
      <c r="I931" s="4">
        <v>0</v>
      </c>
    </row>
    <row r="932" spans="1:9" x14ac:dyDescent="0.15">
      <c r="A932" s="2">
        <v>17</v>
      </c>
      <c r="B932" s="1" t="s">
        <v>174</v>
      </c>
      <c r="C932" s="4">
        <v>75</v>
      </c>
      <c r="D932" s="8">
        <v>1.45</v>
      </c>
      <c r="E932" s="4">
        <v>28</v>
      </c>
      <c r="F932" s="8">
        <v>1.26</v>
      </c>
      <c r="G932" s="4">
        <v>47</v>
      </c>
      <c r="H932" s="8">
        <v>1.61</v>
      </c>
      <c r="I932" s="4">
        <v>0</v>
      </c>
    </row>
    <row r="933" spans="1:9" x14ac:dyDescent="0.15">
      <c r="A933" s="2">
        <v>17</v>
      </c>
      <c r="B933" s="1" t="s">
        <v>146</v>
      </c>
      <c r="C933" s="4">
        <v>75</v>
      </c>
      <c r="D933" s="8">
        <v>1.45</v>
      </c>
      <c r="E933" s="4">
        <v>4</v>
      </c>
      <c r="F933" s="8">
        <v>0.18</v>
      </c>
      <c r="G933" s="4">
        <v>71</v>
      </c>
      <c r="H933" s="8">
        <v>2.4300000000000002</v>
      </c>
      <c r="I933" s="4">
        <v>0</v>
      </c>
    </row>
    <row r="934" spans="1:9" x14ac:dyDescent="0.15">
      <c r="A934" s="2">
        <v>19</v>
      </c>
      <c r="B934" s="1" t="s">
        <v>181</v>
      </c>
      <c r="C934" s="4">
        <v>70</v>
      </c>
      <c r="D934" s="8">
        <v>1.36</v>
      </c>
      <c r="E934" s="4">
        <v>36</v>
      </c>
      <c r="F934" s="8">
        <v>1.62</v>
      </c>
      <c r="G934" s="4">
        <v>34</v>
      </c>
      <c r="H934" s="8">
        <v>1.1599999999999999</v>
      </c>
      <c r="I934" s="4">
        <v>0</v>
      </c>
    </row>
    <row r="935" spans="1:9" x14ac:dyDescent="0.15">
      <c r="A935" s="2">
        <v>20</v>
      </c>
      <c r="B935" s="1" t="s">
        <v>158</v>
      </c>
      <c r="C935" s="4">
        <v>69</v>
      </c>
      <c r="D935" s="8">
        <v>1.34</v>
      </c>
      <c r="E935" s="4">
        <v>11</v>
      </c>
      <c r="F935" s="8">
        <v>0.5</v>
      </c>
      <c r="G935" s="4">
        <v>58</v>
      </c>
      <c r="H935" s="8">
        <v>1.98</v>
      </c>
      <c r="I935" s="4">
        <v>0</v>
      </c>
    </row>
    <row r="936" spans="1:9" x14ac:dyDescent="0.15">
      <c r="A936" s="1"/>
      <c r="C936" s="4"/>
      <c r="D936" s="8"/>
      <c r="E936" s="4"/>
      <c r="F936" s="8"/>
      <c r="G936" s="4"/>
      <c r="H936" s="8"/>
      <c r="I936" s="4"/>
    </row>
    <row r="937" spans="1:9" x14ac:dyDescent="0.15">
      <c r="A937" s="1" t="s">
        <v>42</v>
      </c>
      <c r="C937" s="4"/>
      <c r="D937" s="8"/>
      <c r="E937" s="4"/>
      <c r="F937" s="8"/>
      <c r="G937" s="4"/>
      <c r="H937" s="8"/>
      <c r="I937" s="4"/>
    </row>
    <row r="938" spans="1:9" x14ac:dyDescent="0.15">
      <c r="A938" s="2">
        <v>1</v>
      </c>
      <c r="B938" s="1" t="s">
        <v>148</v>
      </c>
      <c r="C938" s="4">
        <v>387</v>
      </c>
      <c r="D938" s="8">
        <v>8.9700000000000006</v>
      </c>
      <c r="E938" s="4">
        <v>317</v>
      </c>
      <c r="F938" s="8">
        <v>15.52</v>
      </c>
      <c r="G938" s="4">
        <v>70</v>
      </c>
      <c r="H938" s="8">
        <v>3.1</v>
      </c>
      <c r="I938" s="4">
        <v>0</v>
      </c>
    </row>
    <row r="939" spans="1:9" x14ac:dyDescent="0.15">
      <c r="A939" s="2">
        <v>2</v>
      </c>
      <c r="B939" s="1" t="s">
        <v>155</v>
      </c>
      <c r="C939" s="4">
        <v>201</v>
      </c>
      <c r="D939" s="8">
        <v>4.66</v>
      </c>
      <c r="E939" s="4">
        <v>159</v>
      </c>
      <c r="F939" s="8">
        <v>7.78</v>
      </c>
      <c r="G939" s="4">
        <v>42</v>
      </c>
      <c r="H939" s="8">
        <v>1.86</v>
      </c>
      <c r="I939" s="4">
        <v>0</v>
      </c>
    </row>
    <row r="940" spans="1:9" x14ac:dyDescent="0.15">
      <c r="A940" s="2">
        <v>3</v>
      </c>
      <c r="B940" s="1" t="s">
        <v>151</v>
      </c>
      <c r="C940" s="4">
        <v>182</v>
      </c>
      <c r="D940" s="8">
        <v>4.22</v>
      </c>
      <c r="E940" s="4">
        <v>168</v>
      </c>
      <c r="F940" s="8">
        <v>8.2200000000000006</v>
      </c>
      <c r="G940" s="4">
        <v>14</v>
      </c>
      <c r="H940" s="8">
        <v>0.62</v>
      </c>
      <c r="I940" s="4">
        <v>0</v>
      </c>
    </row>
    <row r="941" spans="1:9" x14ac:dyDescent="0.15">
      <c r="A941" s="2">
        <v>4</v>
      </c>
      <c r="B941" s="1" t="s">
        <v>152</v>
      </c>
      <c r="C941" s="4">
        <v>135</v>
      </c>
      <c r="D941" s="8">
        <v>3.13</v>
      </c>
      <c r="E941" s="4">
        <v>127</v>
      </c>
      <c r="F941" s="8">
        <v>6.22</v>
      </c>
      <c r="G941" s="4">
        <v>8</v>
      </c>
      <c r="H941" s="8">
        <v>0.35</v>
      </c>
      <c r="I941" s="4">
        <v>0</v>
      </c>
    </row>
    <row r="942" spans="1:9" x14ac:dyDescent="0.15">
      <c r="A942" s="2">
        <v>5</v>
      </c>
      <c r="B942" s="1" t="s">
        <v>150</v>
      </c>
      <c r="C942" s="4">
        <v>130</v>
      </c>
      <c r="D942" s="8">
        <v>3.01</v>
      </c>
      <c r="E942" s="4">
        <v>101</v>
      </c>
      <c r="F942" s="8">
        <v>4.9400000000000004</v>
      </c>
      <c r="G942" s="4">
        <v>29</v>
      </c>
      <c r="H942" s="8">
        <v>1.28</v>
      </c>
      <c r="I942" s="4">
        <v>0</v>
      </c>
    </row>
    <row r="943" spans="1:9" x14ac:dyDescent="0.15">
      <c r="A943" s="2">
        <v>6</v>
      </c>
      <c r="B943" s="1" t="s">
        <v>157</v>
      </c>
      <c r="C943" s="4">
        <v>118</v>
      </c>
      <c r="D943" s="8">
        <v>2.74</v>
      </c>
      <c r="E943" s="4">
        <v>102</v>
      </c>
      <c r="F943" s="8">
        <v>4.99</v>
      </c>
      <c r="G943" s="4">
        <v>16</v>
      </c>
      <c r="H943" s="8">
        <v>0.71</v>
      </c>
      <c r="I943" s="4">
        <v>0</v>
      </c>
    </row>
    <row r="944" spans="1:9" x14ac:dyDescent="0.15">
      <c r="A944" s="2">
        <v>7</v>
      </c>
      <c r="B944" s="1" t="s">
        <v>154</v>
      </c>
      <c r="C944" s="4">
        <v>113</v>
      </c>
      <c r="D944" s="8">
        <v>2.62</v>
      </c>
      <c r="E944" s="4">
        <v>97</v>
      </c>
      <c r="F944" s="8">
        <v>4.75</v>
      </c>
      <c r="G944" s="4">
        <v>16</v>
      </c>
      <c r="H944" s="8">
        <v>0.71</v>
      </c>
      <c r="I944" s="4">
        <v>0</v>
      </c>
    </row>
    <row r="945" spans="1:9" x14ac:dyDescent="0.15">
      <c r="A945" s="2">
        <v>8</v>
      </c>
      <c r="B945" s="1" t="s">
        <v>156</v>
      </c>
      <c r="C945" s="4">
        <v>112</v>
      </c>
      <c r="D945" s="8">
        <v>2.6</v>
      </c>
      <c r="E945" s="4">
        <v>84</v>
      </c>
      <c r="F945" s="8">
        <v>4.1100000000000003</v>
      </c>
      <c r="G945" s="4">
        <v>28</v>
      </c>
      <c r="H945" s="8">
        <v>1.24</v>
      </c>
      <c r="I945" s="4">
        <v>0</v>
      </c>
    </row>
    <row r="946" spans="1:9" x14ac:dyDescent="0.15">
      <c r="A946" s="2">
        <v>9</v>
      </c>
      <c r="B946" s="1" t="s">
        <v>149</v>
      </c>
      <c r="C946" s="4">
        <v>102</v>
      </c>
      <c r="D946" s="8">
        <v>2.36</v>
      </c>
      <c r="E946" s="4">
        <v>6</v>
      </c>
      <c r="F946" s="8">
        <v>0.28999999999999998</v>
      </c>
      <c r="G946" s="4">
        <v>96</v>
      </c>
      <c r="H946" s="8">
        <v>4.25</v>
      </c>
      <c r="I946" s="4">
        <v>0</v>
      </c>
    </row>
    <row r="947" spans="1:9" x14ac:dyDescent="0.15">
      <c r="A947" s="2">
        <v>10</v>
      </c>
      <c r="B947" s="1" t="s">
        <v>145</v>
      </c>
      <c r="C947" s="4">
        <v>94</v>
      </c>
      <c r="D947" s="8">
        <v>2.1800000000000002</v>
      </c>
      <c r="E947" s="4">
        <v>47</v>
      </c>
      <c r="F947" s="8">
        <v>2.2999999999999998</v>
      </c>
      <c r="G947" s="4">
        <v>47</v>
      </c>
      <c r="H947" s="8">
        <v>2.08</v>
      </c>
      <c r="I947" s="4">
        <v>0</v>
      </c>
    </row>
    <row r="948" spans="1:9" x14ac:dyDescent="0.15">
      <c r="A948" s="2">
        <v>11</v>
      </c>
      <c r="B948" s="1" t="s">
        <v>147</v>
      </c>
      <c r="C948" s="4">
        <v>92</v>
      </c>
      <c r="D948" s="8">
        <v>2.13</v>
      </c>
      <c r="E948" s="4">
        <v>27</v>
      </c>
      <c r="F948" s="8">
        <v>1.32</v>
      </c>
      <c r="G948" s="4">
        <v>65</v>
      </c>
      <c r="H948" s="8">
        <v>2.88</v>
      </c>
      <c r="I948" s="4">
        <v>0</v>
      </c>
    </row>
    <row r="949" spans="1:9" x14ac:dyDescent="0.15">
      <c r="A949" s="2">
        <v>12</v>
      </c>
      <c r="B949" s="1" t="s">
        <v>146</v>
      </c>
      <c r="C949" s="4">
        <v>73</v>
      </c>
      <c r="D949" s="8">
        <v>1.69</v>
      </c>
      <c r="E949" s="4">
        <v>6</v>
      </c>
      <c r="F949" s="8">
        <v>0.28999999999999998</v>
      </c>
      <c r="G949" s="4">
        <v>67</v>
      </c>
      <c r="H949" s="8">
        <v>2.97</v>
      </c>
      <c r="I949" s="4">
        <v>0</v>
      </c>
    </row>
    <row r="950" spans="1:9" x14ac:dyDescent="0.15">
      <c r="A950" s="2">
        <v>13</v>
      </c>
      <c r="B950" s="1" t="s">
        <v>141</v>
      </c>
      <c r="C950" s="4">
        <v>67</v>
      </c>
      <c r="D950" s="8">
        <v>1.55</v>
      </c>
      <c r="E950" s="4">
        <v>5</v>
      </c>
      <c r="F950" s="8">
        <v>0.24</v>
      </c>
      <c r="G950" s="4">
        <v>62</v>
      </c>
      <c r="H950" s="8">
        <v>2.75</v>
      </c>
      <c r="I950" s="4">
        <v>0</v>
      </c>
    </row>
    <row r="951" spans="1:9" x14ac:dyDescent="0.15">
      <c r="A951" s="2">
        <v>14</v>
      </c>
      <c r="B951" s="1" t="s">
        <v>144</v>
      </c>
      <c r="C951" s="4">
        <v>66</v>
      </c>
      <c r="D951" s="8">
        <v>1.53</v>
      </c>
      <c r="E951" s="4">
        <v>22</v>
      </c>
      <c r="F951" s="8">
        <v>1.08</v>
      </c>
      <c r="G951" s="4">
        <v>44</v>
      </c>
      <c r="H951" s="8">
        <v>1.95</v>
      </c>
      <c r="I951" s="4">
        <v>0</v>
      </c>
    </row>
    <row r="952" spans="1:9" x14ac:dyDescent="0.15">
      <c r="A952" s="2">
        <v>15</v>
      </c>
      <c r="B952" s="1" t="s">
        <v>143</v>
      </c>
      <c r="C952" s="4">
        <v>60</v>
      </c>
      <c r="D952" s="8">
        <v>1.39</v>
      </c>
      <c r="E952" s="4">
        <v>30</v>
      </c>
      <c r="F952" s="8">
        <v>1.47</v>
      </c>
      <c r="G952" s="4">
        <v>30</v>
      </c>
      <c r="H952" s="8">
        <v>1.33</v>
      </c>
      <c r="I952" s="4">
        <v>0</v>
      </c>
    </row>
    <row r="953" spans="1:9" x14ac:dyDescent="0.15">
      <c r="A953" s="2">
        <v>16</v>
      </c>
      <c r="B953" s="1" t="s">
        <v>139</v>
      </c>
      <c r="C953" s="4">
        <v>59</v>
      </c>
      <c r="D953" s="8">
        <v>1.37</v>
      </c>
      <c r="E953" s="4">
        <v>8</v>
      </c>
      <c r="F953" s="8">
        <v>0.39</v>
      </c>
      <c r="G953" s="4">
        <v>51</v>
      </c>
      <c r="H953" s="8">
        <v>2.2599999999999998</v>
      </c>
      <c r="I953" s="4">
        <v>0</v>
      </c>
    </row>
    <row r="954" spans="1:9" x14ac:dyDescent="0.15">
      <c r="A954" s="2">
        <v>16</v>
      </c>
      <c r="B954" s="1" t="s">
        <v>158</v>
      </c>
      <c r="C954" s="4">
        <v>59</v>
      </c>
      <c r="D954" s="8">
        <v>1.37</v>
      </c>
      <c r="E954" s="4">
        <v>9</v>
      </c>
      <c r="F954" s="8">
        <v>0.44</v>
      </c>
      <c r="G954" s="4">
        <v>50</v>
      </c>
      <c r="H954" s="8">
        <v>2.21</v>
      </c>
      <c r="I954" s="4">
        <v>0</v>
      </c>
    </row>
    <row r="955" spans="1:9" x14ac:dyDescent="0.15">
      <c r="A955" s="2">
        <v>16</v>
      </c>
      <c r="B955" s="1" t="s">
        <v>161</v>
      </c>
      <c r="C955" s="4">
        <v>59</v>
      </c>
      <c r="D955" s="8">
        <v>1.37</v>
      </c>
      <c r="E955" s="4">
        <v>14</v>
      </c>
      <c r="F955" s="8">
        <v>0.69</v>
      </c>
      <c r="G955" s="4">
        <v>45</v>
      </c>
      <c r="H955" s="8">
        <v>1.99</v>
      </c>
      <c r="I955" s="4">
        <v>0</v>
      </c>
    </row>
    <row r="956" spans="1:9" x14ac:dyDescent="0.15">
      <c r="A956" s="2">
        <v>19</v>
      </c>
      <c r="B956" s="1" t="s">
        <v>153</v>
      </c>
      <c r="C956" s="4">
        <v>56</v>
      </c>
      <c r="D956" s="8">
        <v>1.3</v>
      </c>
      <c r="E956" s="4">
        <v>25</v>
      </c>
      <c r="F956" s="8">
        <v>1.22</v>
      </c>
      <c r="G956" s="4">
        <v>31</v>
      </c>
      <c r="H956" s="8">
        <v>1.37</v>
      </c>
      <c r="I956" s="4">
        <v>0</v>
      </c>
    </row>
    <row r="957" spans="1:9" x14ac:dyDescent="0.15">
      <c r="A957" s="2">
        <v>20</v>
      </c>
      <c r="B957" s="1" t="s">
        <v>175</v>
      </c>
      <c r="C957" s="4">
        <v>52</v>
      </c>
      <c r="D957" s="8">
        <v>1.21</v>
      </c>
      <c r="E957" s="4">
        <v>33</v>
      </c>
      <c r="F957" s="8">
        <v>1.62</v>
      </c>
      <c r="G957" s="4">
        <v>19</v>
      </c>
      <c r="H957" s="8">
        <v>0.84</v>
      </c>
      <c r="I957" s="4">
        <v>0</v>
      </c>
    </row>
    <row r="958" spans="1:9" x14ac:dyDescent="0.15">
      <c r="A958" s="1"/>
      <c r="C958" s="4"/>
      <c r="D958" s="8"/>
      <c r="E958" s="4"/>
      <c r="F958" s="8"/>
      <c r="G958" s="4"/>
      <c r="H958" s="8"/>
      <c r="I958" s="4"/>
    </row>
    <row r="959" spans="1:9" x14ac:dyDescent="0.15">
      <c r="A959" s="1" t="s">
        <v>43</v>
      </c>
      <c r="C959" s="4"/>
      <c r="D959" s="8"/>
      <c r="E959" s="4"/>
      <c r="F959" s="8"/>
      <c r="G959" s="4"/>
      <c r="H959" s="8"/>
      <c r="I959" s="4"/>
    </row>
    <row r="960" spans="1:9" x14ac:dyDescent="0.15">
      <c r="A960" s="2">
        <v>1</v>
      </c>
      <c r="B960" s="1" t="s">
        <v>148</v>
      </c>
      <c r="C960" s="4">
        <v>374</v>
      </c>
      <c r="D960" s="8">
        <v>17.760000000000002</v>
      </c>
      <c r="E960" s="4">
        <v>347</v>
      </c>
      <c r="F960" s="8">
        <v>29.09</v>
      </c>
      <c r="G960" s="4">
        <v>27</v>
      </c>
      <c r="H960" s="8">
        <v>2.96</v>
      </c>
      <c r="I960" s="4">
        <v>0</v>
      </c>
    </row>
    <row r="961" spans="1:9" x14ac:dyDescent="0.15">
      <c r="A961" s="2">
        <v>2</v>
      </c>
      <c r="B961" s="1" t="s">
        <v>155</v>
      </c>
      <c r="C961" s="4">
        <v>81</v>
      </c>
      <c r="D961" s="8">
        <v>3.85</v>
      </c>
      <c r="E961" s="4">
        <v>67</v>
      </c>
      <c r="F961" s="8">
        <v>5.62</v>
      </c>
      <c r="G961" s="4">
        <v>14</v>
      </c>
      <c r="H961" s="8">
        <v>1.54</v>
      </c>
      <c r="I961" s="4">
        <v>0</v>
      </c>
    </row>
    <row r="962" spans="1:9" x14ac:dyDescent="0.15">
      <c r="A962" s="2">
        <v>3</v>
      </c>
      <c r="B962" s="1" t="s">
        <v>147</v>
      </c>
      <c r="C962" s="4">
        <v>53</v>
      </c>
      <c r="D962" s="8">
        <v>2.52</v>
      </c>
      <c r="E962" s="4">
        <v>32</v>
      </c>
      <c r="F962" s="8">
        <v>2.68</v>
      </c>
      <c r="G962" s="4">
        <v>21</v>
      </c>
      <c r="H962" s="8">
        <v>2.31</v>
      </c>
      <c r="I962" s="4">
        <v>0</v>
      </c>
    </row>
    <row r="963" spans="1:9" x14ac:dyDescent="0.15">
      <c r="A963" s="2">
        <v>3</v>
      </c>
      <c r="B963" s="1" t="s">
        <v>151</v>
      </c>
      <c r="C963" s="4">
        <v>53</v>
      </c>
      <c r="D963" s="8">
        <v>2.52</v>
      </c>
      <c r="E963" s="4">
        <v>47</v>
      </c>
      <c r="F963" s="8">
        <v>3.94</v>
      </c>
      <c r="G963" s="4">
        <v>6</v>
      </c>
      <c r="H963" s="8">
        <v>0.66</v>
      </c>
      <c r="I963" s="4">
        <v>0</v>
      </c>
    </row>
    <row r="964" spans="1:9" x14ac:dyDescent="0.15">
      <c r="A964" s="2">
        <v>3</v>
      </c>
      <c r="B964" s="1" t="s">
        <v>152</v>
      </c>
      <c r="C964" s="4">
        <v>53</v>
      </c>
      <c r="D964" s="8">
        <v>2.52</v>
      </c>
      <c r="E964" s="4">
        <v>48</v>
      </c>
      <c r="F964" s="8">
        <v>4.0199999999999996</v>
      </c>
      <c r="G964" s="4">
        <v>5</v>
      </c>
      <c r="H964" s="8">
        <v>0.55000000000000004</v>
      </c>
      <c r="I964" s="4">
        <v>0</v>
      </c>
    </row>
    <row r="965" spans="1:9" x14ac:dyDescent="0.15">
      <c r="A965" s="2">
        <v>3</v>
      </c>
      <c r="B965" s="1" t="s">
        <v>154</v>
      </c>
      <c r="C965" s="4">
        <v>53</v>
      </c>
      <c r="D965" s="8">
        <v>2.52</v>
      </c>
      <c r="E965" s="4">
        <v>50</v>
      </c>
      <c r="F965" s="8">
        <v>4.1900000000000004</v>
      </c>
      <c r="G965" s="4">
        <v>3</v>
      </c>
      <c r="H965" s="8">
        <v>0.33</v>
      </c>
      <c r="I965" s="4">
        <v>0</v>
      </c>
    </row>
    <row r="966" spans="1:9" x14ac:dyDescent="0.15">
      <c r="A966" s="2">
        <v>7</v>
      </c>
      <c r="B966" s="1" t="s">
        <v>150</v>
      </c>
      <c r="C966" s="4">
        <v>51</v>
      </c>
      <c r="D966" s="8">
        <v>2.42</v>
      </c>
      <c r="E966" s="4">
        <v>39</v>
      </c>
      <c r="F966" s="8">
        <v>3.27</v>
      </c>
      <c r="G966" s="4">
        <v>12</v>
      </c>
      <c r="H966" s="8">
        <v>1.32</v>
      </c>
      <c r="I966" s="4">
        <v>0</v>
      </c>
    </row>
    <row r="967" spans="1:9" x14ac:dyDescent="0.15">
      <c r="A967" s="2">
        <v>8</v>
      </c>
      <c r="B967" s="1" t="s">
        <v>149</v>
      </c>
      <c r="C967" s="4">
        <v>47</v>
      </c>
      <c r="D967" s="8">
        <v>2.23</v>
      </c>
      <c r="E967" s="4">
        <v>13</v>
      </c>
      <c r="F967" s="8">
        <v>1.0900000000000001</v>
      </c>
      <c r="G967" s="4">
        <v>34</v>
      </c>
      <c r="H967" s="8">
        <v>3.73</v>
      </c>
      <c r="I967" s="4">
        <v>0</v>
      </c>
    </row>
    <row r="968" spans="1:9" x14ac:dyDescent="0.15">
      <c r="A968" s="2">
        <v>8</v>
      </c>
      <c r="B968" s="1" t="s">
        <v>157</v>
      </c>
      <c r="C968" s="4">
        <v>47</v>
      </c>
      <c r="D968" s="8">
        <v>2.23</v>
      </c>
      <c r="E968" s="4">
        <v>42</v>
      </c>
      <c r="F968" s="8">
        <v>3.52</v>
      </c>
      <c r="G968" s="4">
        <v>5</v>
      </c>
      <c r="H968" s="8">
        <v>0.55000000000000004</v>
      </c>
      <c r="I968" s="4">
        <v>0</v>
      </c>
    </row>
    <row r="969" spans="1:9" x14ac:dyDescent="0.15">
      <c r="A969" s="2">
        <v>10</v>
      </c>
      <c r="B969" s="1" t="s">
        <v>138</v>
      </c>
      <c r="C969" s="4">
        <v>43</v>
      </c>
      <c r="D969" s="8">
        <v>2.04</v>
      </c>
      <c r="E969" s="4">
        <v>8</v>
      </c>
      <c r="F969" s="8">
        <v>0.67</v>
      </c>
      <c r="G969" s="4">
        <v>35</v>
      </c>
      <c r="H969" s="8">
        <v>3.84</v>
      </c>
      <c r="I969" s="4">
        <v>0</v>
      </c>
    </row>
    <row r="970" spans="1:9" x14ac:dyDescent="0.15">
      <c r="A970" s="2">
        <v>11</v>
      </c>
      <c r="B970" s="1" t="s">
        <v>145</v>
      </c>
      <c r="C970" s="4">
        <v>40</v>
      </c>
      <c r="D970" s="8">
        <v>1.9</v>
      </c>
      <c r="E970" s="4">
        <v>19</v>
      </c>
      <c r="F970" s="8">
        <v>1.59</v>
      </c>
      <c r="G970" s="4">
        <v>21</v>
      </c>
      <c r="H970" s="8">
        <v>2.31</v>
      </c>
      <c r="I970" s="4">
        <v>0</v>
      </c>
    </row>
    <row r="971" spans="1:9" x14ac:dyDescent="0.15">
      <c r="A971" s="2">
        <v>11</v>
      </c>
      <c r="B971" s="1" t="s">
        <v>156</v>
      </c>
      <c r="C971" s="4">
        <v>40</v>
      </c>
      <c r="D971" s="8">
        <v>1.9</v>
      </c>
      <c r="E971" s="4">
        <v>33</v>
      </c>
      <c r="F971" s="8">
        <v>2.77</v>
      </c>
      <c r="G971" s="4">
        <v>7</v>
      </c>
      <c r="H971" s="8">
        <v>0.77</v>
      </c>
      <c r="I971" s="4">
        <v>0</v>
      </c>
    </row>
    <row r="972" spans="1:9" x14ac:dyDescent="0.15">
      <c r="A972" s="2">
        <v>13</v>
      </c>
      <c r="B972" s="1" t="s">
        <v>174</v>
      </c>
      <c r="C972" s="4">
        <v>37</v>
      </c>
      <c r="D972" s="8">
        <v>1.76</v>
      </c>
      <c r="E972" s="4">
        <v>13</v>
      </c>
      <c r="F972" s="8">
        <v>1.0900000000000001</v>
      </c>
      <c r="G972" s="4">
        <v>24</v>
      </c>
      <c r="H972" s="8">
        <v>2.63</v>
      </c>
      <c r="I972" s="4">
        <v>0</v>
      </c>
    </row>
    <row r="973" spans="1:9" x14ac:dyDescent="0.15">
      <c r="A973" s="2">
        <v>13</v>
      </c>
      <c r="B973" s="1" t="s">
        <v>173</v>
      </c>
      <c r="C973" s="4">
        <v>37</v>
      </c>
      <c r="D973" s="8">
        <v>1.76</v>
      </c>
      <c r="E973" s="4">
        <v>33</v>
      </c>
      <c r="F973" s="8">
        <v>2.77</v>
      </c>
      <c r="G973" s="4">
        <v>4</v>
      </c>
      <c r="H973" s="8">
        <v>0.44</v>
      </c>
      <c r="I973" s="4">
        <v>0</v>
      </c>
    </row>
    <row r="974" spans="1:9" x14ac:dyDescent="0.15">
      <c r="A974" s="2">
        <v>15</v>
      </c>
      <c r="B974" s="1" t="s">
        <v>144</v>
      </c>
      <c r="C974" s="4">
        <v>35</v>
      </c>
      <c r="D974" s="8">
        <v>1.66</v>
      </c>
      <c r="E974" s="4">
        <v>13</v>
      </c>
      <c r="F974" s="8">
        <v>1.0900000000000001</v>
      </c>
      <c r="G974" s="4">
        <v>22</v>
      </c>
      <c r="H974" s="8">
        <v>2.41</v>
      </c>
      <c r="I974" s="4">
        <v>0</v>
      </c>
    </row>
    <row r="975" spans="1:9" x14ac:dyDescent="0.15">
      <c r="A975" s="2">
        <v>16</v>
      </c>
      <c r="B975" s="1" t="s">
        <v>143</v>
      </c>
      <c r="C975" s="4">
        <v>30</v>
      </c>
      <c r="D975" s="8">
        <v>1.42</v>
      </c>
      <c r="E975" s="4">
        <v>13</v>
      </c>
      <c r="F975" s="8">
        <v>1.0900000000000001</v>
      </c>
      <c r="G975" s="4">
        <v>17</v>
      </c>
      <c r="H975" s="8">
        <v>1.87</v>
      </c>
      <c r="I975" s="4">
        <v>0</v>
      </c>
    </row>
    <row r="976" spans="1:9" x14ac:dyDescent="0.15">
      <c r="A976" s="2">
        <v>17</v>
      </c>
      <c r="B976" s="1" t="s">
        <v>158</v>
      </c>
      <c r="C976" s="4">
        <v>26</v>
      </c>
      <c r="D976" s="8">
        <v>1.23</v>
      </c>
      <c r="E976" s="4">
        <v>5</v>
      </c>
      <c r="F976" s="8">
        <v>0.42</v>
      </c>
      <c r="G976" s="4">
        <v>21</v>
      </c>
      <c r="H976" s="8">
        <v>2.31</v>
      </c>
      <c r="I976" s="4">
        <v>0</v>
      </c>
    </row>
    <row r="977" spans="1:9" x14ac:dyDescent="0.15">
      <c r="A977" s="2">
        <v>17</v>
      </c>
      <c r="B977" s="1" t="s">
        <v>181</v>
      </c>
      <c r="C977" s="4">
        <v>26</v>
      </c>
      <c r="D977" s="8">
        <v>1.23</v>
      </c>
      <c r="E977" s="4">
        <v>16</v>
      </c>
      <c r="F977" s="8">
        <v>1.34</v>
      </c>
      <c r="G977" s="4">
        <v>10</v>
      </c>
      <c r="H977" s="8">
        <v>1.1000000000000001</v>
      </c>
      <c r="I977" s="4">
        <v>0</v>
      </c>
    </row>
    <row r="978" spans="1:9" x14ac:dyDescent="0.15">
      <c r="A978" s="2">
        <v>19</v>
      </c>
      <c r="B978" s="1" t="s">
        <v>159</v>
      </c>
      <c r="C978" s="4">
        <v>25</v>
      </c>
      <c r="D978" s="8">
        <v>1.19</v>
      </c>
      <c r="E978" s="4">
        <v>7</v>
      </c>
      <c r="F978" s="8">
        <v>0.59</v>
      </c>
      <c r="G978" s="4">
        <v>18</v>
      </c>
      <c r="H978" s="8">
        <v>1.98</v>
      </c>
      <c r="I978" s="4">
        <v>0</v>
      </c>
    </row>
    <row r="979" spans="1:9" x14ac:dyDescent="0.15">
      <c r="A979" s="2">
        <v>20</v>
      </c>
      <c r="B979" s="1" t="s">
        <v>153</v>
      </c>
      <c r="C979" s="4">
        <v>24</v>
      </c>
      <c r="D979" s="8">
        <v>1.1399999999999999</v>
      </c>
      <c r="E979" s="4">
        <v>10</v>
      </c>
      <c r="F979" s="8">
        <v>0.84</v>
      </c>
      <c r="G979" s="4">
        <v>14</v>
      </c>
      <c r="H979" s="8">
        <v>1.54</v>
      </c>
      <c r="I979" s="4">
        <v>0</v>
      </c>
    </row>
    <row r="980" spans="1:9" x14ac:dyDescent="0.15">
      <c r="A980" s="1"/>
      <c r="C980" s="4"/>
      <c r="D980" s="8"/>
      <c r="E980" s="4"/>
      <c r="F980" s="8"/>
      <c r="G980" s="4"/>
      <c r="H980" s="8"/>
      <c r="I980" s="4"/>
    </row>
    <row r="981" spans="1:9" x14ac:dyDescent="0.15">
      <c r="A981" s="1" t="s">
        <v>44</v>
      </c>
      <c r="C981" s="4"/>
      <c r="D981" s="8"/>
      <c r="E981" s="4"/>
      <c r="F981" s="8"/>
      <c r="G981" s="4"/>
      <c r="H981" s="8"/>
      <c r="I981" s="4"/>
    </row>
    <row r="982" spans="1:9" x14ac:dyDescent="0.15">
      <c r="A982" s="2">
        <v>1</v>
      </c>
      <c r="B982" s="1" t="s">
        <v>148</v>
      </c>
      <c r="C982" s="4">
        <v>192</v>
      </c>
      <c r="D982" s="8">
        <v>8.15</v>
      </c>
      <c r="E982" s="4">
        <v>147</v>
      </c>
      <c r="F982" s="8">
        <v>13.01</v>
      </c>
      <c r="G982" s="4">
        <v>45</v>
      </c>
      <c r="H982" s="8">
        <v>3.68</v>
      </c>
      <c r="I982" s="4">
        <v>0</v>
      </c>
    </row>
    <row r="983" spans="1:9" x14ac:dyDescent="0.15">
      <c r="A983" s="2">
        <v>2</v>
      </c>
      <c r="B983" s="1" t="s">
        <v>155</v>
      </c>
      <c r="C983" s="4">
        <v>118</v>
      </c>
      <c r="D983" s="8">
        <v>5.01</v>
      </c>
      <c r="E983" s="4">
        <v>99</v>
      </c>
      <c r="F983" s="8">
        <v>8.76</v>
      </c>
      <c r="G983" s="4">
        <v>19</v>
      </c>
      <c r="H983" s="8">
        <v>1.55</v>
      </c>
      <c r="I983" s="4">
        <v>0</v>
      </c>
    </row>
    <row r="984" spans="1:9" x14ac:dyDescent="0.15">
      <c r="A984" s="2">
        <v>3</v>
      </c>
      <c r="B984" s="1" t="s">
        <v>147</v>
      </c>
      <c r="C984" s="4">
        <v>77</v>
      </c>
      <c r="D984" s="8">
        <v>3.27</v>
      </c>
      <c r="E984" s="4">
        <v>45</v>
      </c>
      <c r="F984" s="8">
        <v>3.98</v>
      </c>
      <c r="G984" s="4">
        <v>32</v>
      </c>
      <c r="H984" s="8">
        <v>2.61</v>
      </c>
      <c r="I984" s="4">
        <v>0</v>
      </c>
    </row>
    <row r="985" spans="1:9" x14ac:dyDescent="0.15">
      <c r="A985" s="2">
        <v>4</v>
      </c>
      <c r="B985" s="1" t="s">
        <v>156</v>
      </c>
      <c r="C985" s="4">
        <v>76</v>
      </c>
      <c r="D985" s="8">
        <v>3.22</v>
      </c>
      <c r="E985" s="4">
        <v>61</v>
      </c>
      <c r="F985" s="8">
        <v>5.4</v>
      </c>
      <c r="G985" s="4">
        <v>15</v>
      </c>
      <c r="H985" s="8">
        <v>1.23</v>
      </c>
      <c r="I985" s="4">
        <v>0</v>
      </c>
    </row>
    <row r="986" spans="1:9" x14ac:dyDescent="0.15">
      <c r="A986" s="2">
        <v>5</v>
      </c>
      <c r="B986" s="1" t="s">
        <v>151</v>
      </c>
      <c r="C986" s="4">
        <v>69</v>
      </c>
      <c r="D986" s="8">
        <v>2.93</v>
      </c>
      <c r="E986" s="4">
        <v>60</v>
      </c>
      <c r="F986" s="8">
        <v>5.31</v>
      </c>
      <c r="G986" s="4">
        <v>9</v>
      </c>
      <c r="H986" s="8">
        <v>0.74</v>
      </c>
      <c r="I986" s="4">
        <v>0</v>
      </c>
    </row>
    <row r="987" spans="1:9" x14ac:dyDescent="0.15">
      <c r="A987" s="2">
        <v>6</v>
      </c>
      <c r="B987" s="1" t="s">
        <v>157</v>
      </c>
      <c r="C987" s="4">
        <v>64</v>
      </c>
      <c r="D987" s="8">
        <v>2.72</v>
      </c>
      <c r="E987" s="4">
        <v>56</v>
      </c>
      <c r="F987" s="8">
        <v>4.96</v>
      </c>
      <c r="G987" s="4">
        <v>8</v>
      </c>
      <c r="H987" s="8">
        <v>0.65</v>
      </c>
      <c r="I987" s="4">
        <v>0</v>
      </c>
    </row>
    <row r="988" spans="1:9" x14ac:dyDescent="0.15">
      <c r="A988" s="2">
        <v>7</v>
      </c>
      <c r="B988" s="1" t="s">
        <v>150</v>
      </c>
      <c r="C988" s="4">
        <v>58</v>
      </c>
      <c r="D988" s="8">
        <v>2.46</v>
      </c>
      <c r="E988" s="4">
        <v>42</v>
      </c>
      <c r="F988" s="8">
        <v>3.72</v>
      </c>
      <c r="G988" s="4">
        <v>16</v>
      </c>
      <c r="H988" s="8">
        <v>1.31</v>
      </c>
      <c r="I988" s="4">
        <v>0</v>
      </c>
    </row>
    <row r="989" spans="1:9" x14ac:dyDescent="0.15">
      <c r="A989" s="2">
        <v>8</v>
      </c>
      <c r="B989" s="1" t="s">
        <v>154</v>
      </c>
      <c r="C989" s="4">
        <v>55</v>
      </c>
      <c r="D989" s="8">
        <v>2.33</v>
      </c>
      <c r="E989" s="4">
        <v>52</v>
      </c>
      <c r="F989" s="8">
        <v>4.5999999999999996</v>
      </c>
      <c r="G989" s="4">
        <v>3</v>
      </c>
      <c r="H989" s="8">
        <v>0.25</v>
      </c>
      <c r="I989" s="4">
        <v>0</v>
      </c>
    </row>
    <row r="990" spans="1:9" x14ac:dyDescent="0.15">
      <c r="A990" s="2">
        <v>9</v>
      </c>
      <c r="B990" s="1" t="s">
        <v>152</v>
      </c>
      <c r="C990" s="4">
        <v>53</v>
      </c>
      <c r="D990" s="8">
        <v>2.25</v>
      </c>
      <c r="E990" s="4">
        <v>50</v>
      </c>
      <c r="F990" s="8">
        <v>4.42</v>
      </c>
      <c r="G990" s="4">
        <v>3</v>
      </c>
      <c r="H990" s="8">
        <v>0.25</v>
      </c>
      <c r="I990" s="4">
        <v>0</v>
      </c>
    </row>
    <row r="991" spans="1:9" x14ac:dyDescent="0.15">
      <c r="A991" s="2">
        <v>10</v>
      </c>
      <c r="B991" s="1" t="s">
        <v>142</v>
      </c>
      <c r="C991" s="4">
        <v>47</v>
      </c>
      <c r="D991" s="8">
        <v>1.99</v>
      </c>
      <c r="E991" s="4">
        <v>12</v>
      </c>
      <c r="F991" s="8">
        <v>1.06</v>
      </c>
      <c r="G991" s="4">
        <v>35</v>
      </c>
      <c r="H991" s="8">
        <v>2.86</v>
      </c>
      <c r="I991" s="4">
        <v>0</v>
      </c>
    </row>
    <row r="992" spans="1:9" x14ac:dyDescent="0.15">
      <c r="A992" s="2">
        <v>11</v>
      </c>
      <c r="B992" s="1" t="s">
        <v>144</v>
      </c>
      <c r="C992" s="4">
        <v>45</v>
      </c>
      <c r="D992" s="8">
        <v>1.91</v>
      </c>
      <c r="E992" s="4">
        <v>15</v>
      </c>
      <c r="F992" s="8">
        <v>1.33</v>
      </c>
      <c r="G992" s="4">
        <v>30</v>
      </c>
      <c r="H992" s="8">
        <v>2.4500000000000002</v>
      </c>
      <c r="I992" s="4">
        <v>0</v>
      </c>
    </row>
    <row r="993" spans="1:9" x14ac:dyDescent="0.15">
      <c r="A993" s="2">
        <v>12</v>
      </c>
      <c r="B993" s="1" t="s">
        <v>173</v>
      </c>
      <c r="C993" s="4">
        <v>42</v>
      </c>
      <c r="D993" s="8">
        <v>1.78</v>
      </c>
      <c r="E993" s="4">
        <v>33</v>
      </c>
      <c r="F993" s="8">
        <v>2.92</v>
      </c>
      <c r="G993" s="4">
        <v>9</v>
      </c>
      <c r="H993" s="8">
        <v>0.74</v>
      </c>
      <c r="I993" s="4">
        <v>0</v>
      </c>
    </row>
    <row r="994" spans="1:9" x14ac:dyDescent="0.15">
      <c r="A994" s="2">
        <v>12</v>
      </c>
      <c r="B994" s="1" t="s">
        <v>149</v>
      </c>
      <c r="C994" s="4">
        <v>42</v>
      </c>
      <c r="D994" s="8">
        <v>1.78</v>
      </c>
      <c r="E994" s="4">
        <v>5</v>
      </c>
      <c r="F994" s="8">
        <v>0.44</v>
      </c>
      <c r="G994" s="4">
        <v>37</v>
      </c>
      <c r="H994" s="8">
        <v>3.02</v>
      </c>
      <c r="I994" s="4">
        <v>0</v>
      </c>
    </row>
    <row r="995" spans="1:9" x14ac:dyDescent="0.15">
      <c r="A995" s="2">
        <v>14</v>
      </c>
      <c r="B995" s="1" t="s">
        <v>140</v>
      </c>
      <c r="C995" s="4">
        <v>40</v>
      </c>
      <c r="D995" s="8">
        <v>1.7</v>
      </c>
      <c r="E995" s="4">
        <v>5</v>
      </c>
      <c r="F995" s="8">
        <v>0.44</v>
      </c>
      <c r="G995" s="4">
        <v>35</v>
      </c>
      <c r="H995" s="8">
        <v>2.86</v>
      </c>
      <c r="I995" s="4">
        <v>0</v>
      </c>
    </row>
    <row r="996" spans="1:9" x14ac:dyDescent="0.15">
      <c r="A996" s="2">
        <v>15</v>
      </c>
      <c r="B996" s="1" t="s">
        <v>139</v>
      </c>
      <c r="C996" s="4">
        <v>39</v>
      </c>
      <c r="D996" s="8">
        <v>1.65</v>
      </c>
      <c r="E996" s="4">
        <v>4</v>
      </c>
      <c r="F996" s="8">
        <v>0.35</v>
      </c>
      <c r="G996" s="4">
        <v>35</v>
      </c>
      <c r="H996" s="8">
        <v>2.86</v>
      </c>
      <c r="I996" s="4">
        <v>0</v>
      </c>
    </row>
    <row r="997" spans="1:9" x14ac:dyDescent="0.15">
      <c r="A997" s="2">
        <v>16</v>
      </c>
      <c r="B997" s="1" t="s">
        <v>153</v>
      </c>
      <c r="C997" s="4">
        <v>38</v>
      </c>
      <c r="D997" s="8">
        <v>1.61</v>
      </c>
      <c r="E997" s="4">
        <v>20</v>
      </c>
      <c r="F997" s="8">
        <v>1.77</v>
      </c>
      <c r="G997" s="4">
        <v>18</v>
      </c>
      <c r="H997" s="8">
        <v>1.47</v>
      </c>
      <c r="I997" s="4">
        <v>0</v>
      </c>
    </row>
    <row r="998" spans="1:9" x14ac:dyDescent="0.15">
      <c r="A998" s="2">
        <v>17</v>
      </c>
      <c r="B998" s="1" t="s">
        <v>174</v>
      </c>
      <c r="C998" s="4">
        <v>35</v>
      </c>
      <c r="D998" s="8">
        <v>1.48</v>
      </c>
      <c r="E998" s="4">
        <v>7</v>
      </c>
      <c r="F998" s="8">
        <v>0.62</v>
      </c>
      <c r="G998" s="4">
        <v>28</v>
      </c>
      <c r="H998" s="8">
        <v>2.29</v>
      </c>
      <c r="I998" s="4">
        <v>0</v>
      </c>
    </row>
    <row r="999" spans="1:9" x14ac:dyDescent="0.15">
      <c r="A999" s="2">
        <v>17</v>
      </c>
      <c r="B999" s="1" t="s">
        <v>146</v>
      </c>
      <c r="C999" s="4">
        <v>35</v>
      </c>
      <c r="D999" s="8">
        <v>1.48</v>
      </c>
      <c r="E999" s="4">
        <v>3</v>
      </c>
      <c r="F999" s="8">
        <v>0.27</v>
      </c>
      <c r="G999" s="4">
        <v>32</v>
      </c>
      <c r="H999" s="8">
        <v>2.61</v>
      </c>
      <c r="I999" s="4">
        <v>0</v>
      </c>
    </row>
    <row r="1000" spans="1:9" x14ac:dyDescent="0.15">
      <c r="A1000" s="2">
        <v>19</v>
      </c>
      <c r="B1000" s="1" t="s">
        <v>138</v>
      </c>
      <c r="C1000" s="4">
        <v>34</v>
      </c>
      <c r="D1000" s="8">
        <v>1.44</v>
      </c>
      <c r="E1000" s="4">
        <v>3</v>
      </c>
      <c r="F1000" s="8">
        <v>0.27</v>
      </c>
      <c r="G1000" s="4">
        <v>31</v>
      </c>
      <c r="H1000" s="8">
        <v>2.5299999999999998</v>
      </c>
      <c r="I1000" s="4">
        <v>0</v>
      </c>
    </row>
    <row r="1001" spans="1:9" x14ac:dyDescent="0.15">
      <c r="A1001" s="2">
        <v>20</v>
      </c>
      <c r="B1001" s="1" t="s">
        <v>175</v>
      </c>
      <c r="C1001" s="4">
        <v>33</v>
      </c>
      <c r="D1001" s="8">
        <v>1.4</v>
      </c>
      <c r="E1001" s="4">
        <v>24</v>
      </c>
      <c r="F1001" s="8">
        <v>2.12</v>
      </c>
      <c r="G1001" s="4">
        <v>9</v>
      </c>
      <c r="H1001" s="8">
        <v>0.74</v>
      </c>
      <c r="I1001" s="4">
        <v>0</v>
      </c>
    </row>
    <row r="1002" spans="1:9" x14ac:dyDescent="0.15">
      <c r="A1002" s="1"/>
      <c r="C1002" s="4"/>
      <c r="D1002" s="8"/>
      <c r="E1002" s="4"/>
      <c r="F1002" s="8"/>
      <c r="G1002" s="4"/>
      <c r="H1002" s="8"/>
      <c r="I1002" s="4"/>
    </row>
    <row r="1003" spans="1:9" x14ac:dyDescent="0.15">
      <c r="A1003" s="1" t="s">
        <v>45</v>
      </c>
      <c r="C1003" s="4"/>
      <c r="D1003" s="8"/>
      <c r="E1003" s="4"/>
      <c r="F1003" s="8"/>
      <c r="G1003" s="4"/>
      <c r="H1003" s="8"/>
      <c r="I1003" s="4"/>
    </row>
    <row r="1004" spans="1:9" x14ac:dyDescent="0.15">
      <c r="A1004" s="2">
        <v>1</v>
      </c>
      <c r="B1004" s="1" t="s">
        <v>148</v>
      </c>
      <c r="C1004" s="4">
        <v>187</v>
      </c>
      <c r="D1004" s="8">
        <v>9.34</v>
      </c>
      <c r="E1004" s="4">
        <v>169</v>
      </c>
      <c r="F1004" s="8">
        <v>16</v>
      </c>
      <c r="G1004" s="4">
        <v>18</v>
      </c>
      <c r="H1004" s="8">
        <v>1.91</v>
      </c>
      <c r="I1004" s="4">
        <v>0</v>
      </c>
    </row>
    <row r="1005" spans="1:9" x14ac:dyDescent="0.15">
      <c r="A1005" s="2">
        <v>2</v>
      </c>
      <c r="B1005" s="1" t="s">
        <v>155</v>
      </c>
      <c r="C1005" s="4">
        <v>101</v>
      </c>
      <c r="D1005" s="8">
        <v>5.04</v>
      </c>
      <c r="E1005" s="4">
        <v>84</v>
      </c>
      <c r="F1005" s="8">
        <v>7.95</v>
      </c>
      <c r="G1005" s="4">
        <v>17</v>
      </c>
      <c r="H1005" s="8">
        <v>1.8</v>
      </c>
      <c r="I1005" s="4">
        <v>0</v>
      </c>
    </row>
    <row r="1006" spans="1:9" x14ac:dyDescent="0.15">
      <c r="A1006" s="2">
        <v>3</v>
      </c>
      <c r="B1006" s="1" t="s">
        <v>154</v>
      </c>
      <c r="C1006" s="4">
        <v>62</v>
      </c>
      <c r="D1006" s="8">
        <v>3.1</v>
      </c>
      <c r="E1006" s="4">
        <v>58</v>
      </c>
      <c r="F1006" s="8">
        <v>5.49</v>
      </c>
      <c r="G1006" s="4">
        <v>4</v>
      </c>
      <c r="H1006" s="8">
        <v>0.42</v>
      </c>
      <c r="I1006" s="4">
        <v>0</v>
      </c>
    </row>
    <row r="1007" spans="1:9" x14ac:dyDescent="0.15">
      <c r="A1007" s="2">
        <v>4</v>
      </c>
      <c r="B1007" s="1" t="s">
        <v>151</v>
      </c>
      <c r="C1007" s="4">
        <v>60</v>
      </c>
      <c r="D1007" s="8">
        <v>3</v>
      </c>
      <c r="E1007" s="4">
        <v>57</v>
      </c>
      <c r="F1007" s="8">
        <v>5.4</v>
      </c>
      <c r="G1007" s="4">
        <v>3</v>
      </c>
      <c r="H1007" s="8">
        <v>0.32</v>
      </c>
      <c r="I1007" s="4">
        <v>0</v>
      </c>
    </row>
    <row r="1008" spans="1:9" x14ac:dyDescent="0.15">
      <c r="A1008" s="2">
        <v>5</v>
      </c>
      <c r="B1008" s="1" t="s">
        <v>150</v>
      </c>
      <c r="C1008" s="4">
        <v>56</v>
      </c>
      <c r="D1008" s="8">
        <v>2.8</v>
      </c>
      <c r="E1008" s="4">
        <v>50</v>
      </c>
      <c r="F1008" s="8">
        <v>4.7300000000000004</v>
      </c>
      <c r="G1008" s="4">
        <v>6</v>
      </c>
      <c r="H1008" s="8">
        <v>0.64</v>
      </c>
      <c r="I1008" s="4">
        <v>0</v>
      </c>
    </row>
    <row r="1009" spans="1:9" x14ac:dyDescent="0.15">
      <c r="A1009" s="2">
        <v>6</v>
      </c>
      <c r="B1009" s="1" t="s">
        <v>149</v>
      </c>
      <c r="C1009" s="4">
        <v>55</v>
      </c>
      <c r="D1009" s="8">
        <v>2.75</v>
      </c>
      <c r="E1009" s="4">
        <v>6</v>
      </c>
      <c r="F1009" s="8">
        <v>0.56999999999999995</v>
      </c>
      <c r="G1009" s="4">
        <v>48</v>
      </c>
      <c r="H1009" s="8">
        <v>5.08</v>
      </c>
      <c r="I1009" s="4">
        <v>1</v>
      </c>
    </row>
    <row r="1010" spans="1:9" x14ac:dyDescent="0.15">
      <c r="A1010" s="2">
        <v>6</v>
      </c>
      <c r="B1010" s="1" t="s">
        <v>152</v>
      </c>
      <c r="C1010" s="4">
        <v>55</v>
      </c>
      <c r="D1010" s="8">
        <v>2.75</v>
      </c>
      <c r="E1010" s="4">
        <v>54</v>
      </c>
      <c r="F1010" s="8">
        <v>5.1100000000000003</v>
      </c>
      <c r="G1010" s="4">
        <v>1</v>
      </c>
      <c r="H1010" s="8">
        <v>0.11</v>
      </c>
      <c r="I1010" s="4">
        <v>0</v>
      </c>
    </row>
    <row r="1011" spans="1:9" x14ac:dyDescent="0.15">
      <c r="A1011" s="2">
        <v>8</v>
      </c>
      <c r="B1011" s="1" t="s">
        <v>156</v>
      </c>
      <c r="C1011" s="4">
        <v>52</v>
      </c>
      <c r="D1011" s="8">
        <v>2.6</v>
      </c>
      <c r="E1011" s="4">
        <v>41</v>
      </c>
      <c r="F1011" s="8">
        <v>3.88</v>
      </c>
      <c r="G1011" s="4">
        <v>11</v>
      </c>
      <c r="H1011" s="8">
        <v>1.17</v>
      </c>
      <c r="I1011" s="4">
        <v>0</v>
      </c>
    </row>
    <row r="1012" spans="1:9" x14ac:dyDescent="0.15">
      <c r="A1012" s="2">
        <v>9</v>
      </c>
      <c r="B1012" s="1" t="s">
        <v>157</v>
      </c>
      <c r="C1012" s="4">
        <v>46</v>
      </c>
      <c r="D1012" s="8">
        <v>2.2999999999999998</v>
      </c>
      <c r="E1012" s="4">
        <v>39</v>
      </c>
      <c r="F1012" s="8">
        <v>3.69</v>
      </c>
      <c r="G1012" s="4">
        <v>7</v>
      </c>
      <c r="H1012" s="8">
        <v>0.74</v>
      </c>
      <c r="I1012" s="4">
        <v>0</v>
      </c>
    </row>
    <row r="1013" spans="1:9" x14ac:dyDescent="0.15">
      <c r="A1013" s="2">
        <v>10</v>
      </c>
      <c r="B1013" s="1" t="s">
        <v>140</v>
      </c>
      <c r="C1013" s="4">
        <v>43</v>
      </c>
      <c r="D1013" s="8">
        <v>2.15</v>
      </c>
      <c r="E1013" s="4">
        <v>11</v>
      </c>
      <c r="F1013" s="8">
        <v>1.04</v>
      </c>
      <c r="G1013" s="4">
        <v>32</v>
      </c>
      <c r="H1013" s="8">
        <v>3.39</v>
      </c>
      <c r="I1013" s="4">
        <v>0</v>
      </c>
    </row>
    <row r="1014" spans="1:9" x14ac:dyDescent="0.15">
      <c r="A1014" s="2">
        <v>11</v>
      </c>
      <c r="B1014" s="1" t="s">
        <v>153</v>
      </c>
      <c r="C1014" s="4">
        <v>38</v>
      </c>
      <c r="D1014" s="8">
        <v>1.9</v>
      </c>
      <c r="E1014" s="4">
        <v>25</v>
      </c>
      <c r="F1014" s="8">
        <v>2.37</v>
      </c>
      <c r="G1014" s="4">
        <v>13</v>
      </c>
      <c r="H1014" s="8">
        <v>1.38</v>
      </c>
      <c r="I1014" s="4">
        <v>0</v>
      </c>
    </row>
    <row r="1015" spans="1:9" x14ac:dyDescent="0.15">
      <c r="A1015" s="2">
        <v>12</v>
      </c>
      <c r="B1015" s="1" t="s">
        <v>143</v>
      </c>
      <c r="C1015" s="4">
        <v>35</v>
      </c>
      <c r="D1015" s="8">
        <v>1.75</v>
      </c>
      <c r="E1015" s="4">
        <v>24</v>
      </c>
      <c r="F1015" s="8">
        <v>2.27</v>
      </c>
      <c r="G1015" s="4">
        <v>11</v>
      </c>
      <c r="H1015" s="8">
        <v>1.17</v>
      </c>
      <c r="I1015" s="4">
        <v>0</v>
      </c>
    </row>
    <row r="1016" spans="1:9" x14ac:dyDescent="0.15">
      <c r="A1016" s="2">
        <v>13</v>
      </c>
      <c r="B1016" s="1" t="s">
        <v>141</v>
      </c>
      <c r="C1016" s="4">
        <v>33</v>
      </c>
      <c r="D1016" s="8">
        <v>1.65</v>
      </c>
      <c r="E1016" s="4">
        <v>4</v>
      </c>
      <c r="F1016" s="8">
        <v>0.38</v>
      </c>
      <c r="G1016" s="4">
        <v>29</v>
      </c>
      <c r="H1016" s="8">
        <v>3.07</v>
      </c>
      <c r="I1016" s="4">
        <v>0</v>
      </c>
    </row>
    <row r="1017" spans="1:9" x14ac:dyDescent="0.15">
      <c r="A1017" s="2">
        <v>13</v>
      </c>
      <c r="B1017" s="1" t="s">
        <v>173</v>
      </c>
      <c r="C1017" s="4">
        <v>33</v>
      </c>
      <c r="D1017" s="8">
        <v>1.65</v>
      </c>
      <c r="E1017" s="4">
        <v>28</v>
      </c>
      <c r="F1017" s="8">
        <v>2.65</v>
      </c>
      <c r="G1017" s="4">
        <v>5</v>
      </c>
      <c r="H1017" s="8">
        <v>0.53</v>
      </c>
      <c r="I1017" s="4">
        <v>0</v>
      </c>
    </row>
    <row r="1018" spans="1:9" x14ac:dyDescent="0.15">
      <c r="A1018" s="2">
        <v>15</v>
      </c>
      <c r="B1018" s="1" t="s">
        <v>139</v>
      </c>
      <c r="C1018" s="4">
        <v>30</v>
      </c>
      <c r="D1018" s="8">
        <v>1.5</v>
      </c>
      <c r="E1018" s="4">
        <v>6</v>
      </c>
      <c r="F1018" s="8">
        <v>0.56999999999999995</v>
      </c>
      <c r="G1018" s="4">
        <v>24</v>
      </c>
      <c r="H1018" s="8">
        <v>2.54</v>
      </c>
      <c r="I1018" s="4">
        <v>0</v>
      </c>
    </row>
    <row r="1019" spans="1:9" x14ac:dyDescent="0.15">
      <c r="A1019" s="2">
        <v>15</v>
      </c>
      <c r="B1019" s="1" t="s">
        <v>147</v>
      </c>
      <c r="C1019" s="4">
        <v>30</v>
      </c>
      <c r="D1019" s="8">
        <v>1.5</v>
      </c>
      <c r="E1019" s="4">
        <v>17</v>
      </c>
      <c r="F1019" s="8">
        <v>1.61</v>
      </c>
      <c r="G1019" s="4">
        <v>13</v>
      </c>
      <c r="H1019" s="8">
        <v>1.38</v>
      </c>
      <c r="I1019" s="4">
        <v>0</v>
      </c>
    </row>
    <row r="1020" spans="1:9" x14ac:dyDescent="0.15">
      <c r="A1020" s="2">
        <v>17</v>
      </c>
      <c r="B1020" s="1" t="s">
        <v>174</v>
      </c>
      <c r="C1020" s="4">
        <v>29</v>
      </c>
      <c r="D1020" s="8">
        <v>1.45</v>
      </c>
      <c r="E1020" s="4">
        <v>12</v>
      </c>
      <c r="F1020" s="8">
        <v>1.1399999999999999</v>
      </c>
      <c r="G1020" s="4">
        <v>17</v>
      </c>
      <c r="H1020" s="8">
        <v>1.8</v>
      </c>
      <c r="I1020" s="4">
        <v>0</v>
      </c>
    </row>
    <row r="1021" spans="1:9" x14ac:dyDescent="0.15">
      <c r="A1021" s="2">
        <v>17</v>
      </c>
      <c r="B1021" s="1" t="s">
        <v>144</v>
      </c>
      <c r="C1021" s="4">
        <v>29</v>
      </c>
      <c r="D1021" s="8">
        <v>1.45</v>
      </c>
      <c r="E1021" s="4">
        <v>13</v>
      </c>
      <c r="F1021" s="8">
        <v>1.23</v>
      </c>
      <c r="G1021" s="4">
        <v>16</v>
      </c>
      <c r="H1021" s="8">
        <v>1.69</v>
      </c>
      <c r="I1021" s="4">
        <v>0</v>
      </c>
    </row>
    <row r="1022" spans="1:9" x14ac:dyDescent="0.15">
      <c r="A1022" s="2">
        <v>19</v>
      </c>
      <c r="B1022" s="1" t="s">
        <v>145</v>
      </c>
      <c r="C1022" s="4">
        <v>28</v>
      </c>
      <c r="D1022" s="8">
        <v>1.4</v>
      </c>
      <c r="E1022" s="4">
        <v>19</v>
      </c>
      <c r="F1022" s="8">
        <v>1.8</v>
      </c>
      <c r="G1022" s="4">
        <v>9</v>
      </c>
      <c r="H1022" s="8">
        <v>0.95</v>
      </c>
      <c r="I1022" s="4">
        <v>0</v>
      </c>
    </row>
    <row r="1023" spans="1:9" x14ac:dyDescent="0.15">
      <c r="A1023" s="2">
        <v>20</v>
      </c>
      <c r="B1023" s="1" t="s">
        <v>158</v>
      </c>
      <c r="C1023" s="4">
        <v>27</v>
      </c>
      <c r="D1023" s="8">
        <v>1.35</v>
      </c>
      <c r="E1023" s="4">
        <v>4</v>
      </c>
      <c r="F1023" s="8">
        <v>0.38</v>
      </c>
      <c r="G1023" s="4">
        <v>23</v>
      </c>
      <c r="H1023" s="8">
        <v>2.44</v>
      </c>
      <c r="I1023" s="4">
        <v>0</v>
      </c>
    </row>
    <row r="1024" spans="1:9" x14ac:dyDescent="0.15">
      <c r="A1024" s="1"/>
      <c r="C1024" s="4"/>
      <c r="D1024" s="8"/>
      <c r="E1024" s="4"/>
      <c r="F1024" s="8"/>
      <c r="G1024" s="4"/>
      <c r="H1024" s="8"/>
      <c r="I1024" s="4"/>
    </row>
    <row r="1025" spans="1:9" x14ac:dyDescent="0.15">
      <c r="A1025" s="1" t="s">
        <v>46</v>
      </c>
      <c r="C1025" s="4"/>
      <c r="D1025" s="8"/>
      <c r="E1025" s="4"/>
      <c r="F1025" s="8"/>
      <c r="G1025" s="4"/>
      <c r="H1025" s="8"/>
      <c r="I1025" s="4"/>
    </row>
    <row r="1026" spans="1:9" x14ac:dyDescent="0.15">
      <c r="A1026" s="2">
        <v>1</v>
      </c>
      <c r="B1026" s="1" t="s">
        <v>148</v>
      </c>
      <c r="C1026" s="4">
        <v>134</v>
      </c>
      <c r="D1026" s="8">
        <v>14.21</v>
      </c>
      <c r="E1026" s="4">
        <v>123</v>
      </c>
      <c r="F1026" s="8">
        <v>20.95</v>
      </c>
      <c r="G1026" s="4">
        <v>11</v>
      </c>
      <c r="H1026" s="8">
        <v>3.1</v>
      </c>
      <c r="I1026" s="4">
        <v>0</v>
      </c>
    </row>
    <row r="1027" spans="1:9" x14ac:dyDescent="0.15">
      <c r="A1027" s="2">
        <v>2</v>
      </c>
      <c r="B1027" s="1" t="s">
        <v>155</v>
      </c>
      <c r="C1027" s="4">
        <v>50</v>
      </c>
      <c r="D1027" s="8">
        <v>5.3</v>
      </c>
      <c r="E1027" s="4">
        <v>47</v>
      </c>
      <c r="F1027" s="8">
        <v>8.01</v>
      </c>
      <c r="G1027" s="4">
        <v>3</v>
      </c>
      <c r="H1027" s="8">
        <v>0.85</v>
      </c>
      <c r="I1027" s="4">
        <v>0</v>
      </c>
    </row>
    <row r="1028" spans="1:9" x14ac:dyDescent="0.15">
      <c r="A1028" s="2">
        <v>3</v>
      </c>
      <c r="B1028" s="1" t="s">
        <v>173</v>
      </c>
      <c r="C1028" s="4">
        <v>38</v>
      </c>
      <c r="D1028" s="8">
        <v>4.03</v>
      </c>
      <c r="E1028" s="4">
        <v>36</v>
      </c>
      <c r="F1028" s="8">
        <v>6.13</v>
      </c>
      <c r="G1028" s="4">
        <v>2</v>
      </c>
      <c r="H1028" s="8">
        <v>0.56000000000000005</v>
      </c>
      <c r="I1028" s="4">
        <v>0</v>
      </c>
    </row>
    <row r="1029" spans="1:9" x14ac:dyDescent="0.15">
      <c r="A1029" s="2">
        <v>4</v>
      </c>
      <c r="B1029" s="1" t="s">
        <v>138</v>
      </c>
      <c r="C1029" s="4">
        <v>35</v>
      </c>
      <c r="D1029" s="8">
        <v>3.71</v>
      </c>
      <c r="E1029" s="4">
        <v>4</v>
      </c>
      <c r="F1029" s="8">
        <v>0.68</v>
      </c>
      <c r="G1029" s="4">
        <v>31</v>
      </c>
      <c r="H1029" s="8">
        <v>8.73</v>
      </c>
      <c r="I1029" s="4">
        <v>0</v>
      </c>
    </row>
    <row r="1030" spans="1:9" x14ac:dyDescent="0.15">
      <c r="A1030" s="2">
        <v>4</v>
      </c>
      <c r="B1030" s="1" t="s">
        <v>154</v>
      </c>
      <c r="C1030" s="4">
        <v>35</v>
      </c>
      <c r="D1030" s="8">
        <v>3.71</v>
      </c>
      <c r="E1030" s="4">
        <v>35</v>
      </c>
      <c r="F1030" s="8">
        <v>5.96</v>
      </c>
      <c r="G1030" s="4">
        <v>0</v>
      </c>
      <c r="H1030" s="8">
        <v>0</v>
      </c>
      <c r="I1030" s="4">
        <v>0</v>
      </c>
    </row>
    <row r="1031" spans="1:9" x14ac:dyDescent="0.15">
      <c r="A1031" s="2">
        <v>6</v>
      </c>
      <c r="B1031" s="1" t="s">
        <v>174</v>
      </c>
      <c r="C1031" s="4">
        <v>26</v>
      </c>
      <c r="D1031" s="8">
        <v>2.76</v>
      </c>
      <c r="E1031" s="4">
        <v>13</v>
      </c>
      <c r="F1031" s="8">
        <v>2.21</v>
      </c>
      <c r="G1031" s="4">
        <v>13</v>
      </c>
      <c r="H1031" s="8">
        <v>3.66</v>
      </c>
      <c r="I1031" s="4">
        <v>0</v>
      </c>
    </row>
    <row r="1032" spans="1:9" x14ac:dyDescent="0.15">
      <c r="A1032" s="2">
        <v>6</v>
      </c>
      <c r="B1032" s="1" t="s">
        <v>140</v>
      </c>
      <c r="C1032" s="4">
        <v>26</v>
      </c>
      <c r="D1032" s="8">
        <v>2.76</v>
      </c>
      <c r="E1032" s="4">
        <v>8</v>
      </c>
      <c r="F1032" s="8">
        <v>1.36</v>
      </c>
      <c r="G1032" s="4">
        <v>18</v>
      </c>
      <c r="H1032" s="8">
        <v>5.07</v>
      </c>
      <c r="I1032" s="4">
        <v>0</v>
      </c>
    </row>
    <row r="1033" spans="1:9" x14ac:dyDescent="0.15">
      <c r="A1033" s="2">
        <v>8</v>
      </c>
      <c r="B1033" s="1" t="s">
        <v>147</v>
      </c>
      <c r="C1033" s="4">
        <v>25</v>
      </c>
      <c r="D1033" s="8">
        <v>2.65</v>
      </c>
      <c r="E1033" s="4">
        <v>22</v>
      </c>
      <c r="F1033" s="8">
        <v>3.75</v>
      </c>
      <c r="G1033" s="4">
        <v>3</v>
      </c>
      <c r="H1033" s="8">
        <v>0.85</v>
      </c>
      <c r="I1033" s="4">
        <v>0</v>
      </c>
    </row>
    <row r="1034" spans="1:9" x14ac:dyDescent="0.15">
      <c r="A1034" s="2">
        <v>8</v>
      </c>
      <c r="B1034" s="1" t="s">
        <v>151</v>
      </c>
      <c r="C1034" s="4">
        <v>25</v>
      </c>
      <c r="D1034" s="8">
        <v>2.65</v>
      </c>
      <c r="E1034" s="4">
        <v>25</v>
      </c>
      <c r="F1034" s="8">
        <v>4.26</v>
      </c>
      <c r="G1034" s="4">
        <v>0</v>
      </c>
      <c r="H1034" s="8">
        <v>0</v>
      </c>
      <c r="I1034" s="4">
        <v>0</v>
      </c>
    </row>
    <row r="1035" spans="1:9" x14ac:dyDescent="0.15">
      <c r="A1035" s="2">
        <v>10</v>
      </c>
      <c r="B1035" s="1" t="s">
        <v>156</v>
      </c>
      <c r="C1035" s="4">
        <v>23</v>
      </c>
      <c r="D1035" s="8">
        <v>2.44</v>
      </c>
      <c r="E1035" s="4">
        <v>18</v>
      </c>
      <c r="F1035" s="8">
        <v>3.07</v>
      </c>
      <c r="G1035" s="4">
        <v>5</v>
      </c>
      <c r="H1035" s="8">
        <v>1.41</v>
      </c>
      <c r="I1035" s="4">
        <v>0</v>
      </c>
    </row>
    <row r="1036" spans="1:9" x14ac:dyDescent="0.15">
      <c r="A1036" s="2">
        <v>11</v>
      </c>
      <c r="B1036" s="1" t="s">
        <v>141</v>
      </c>
      <c r="C1036" s="4">
        <v>18</v>
      </c>
      <c r="D1036" s="8">
        <v>1.91</v>
      </c>
      <c r="E1036" s="4">
        <v>3</v>
      </c>
      <c r="F1036" s="8">
        <v>0.51</v>
      </c>
      <c r="G1036" s="4">
        <v>15</v>
      </c>
      <c r="H1036" s="8">
        <v>4.2300000000000004</v>
      </c>
      <c r="I1036" s="4">
        <v>0</v>
      </c>
    </row>
    <row r="1037" spans="1:9" x14ac:dyDescent="0.15">
      <c r="A1037" s="2">
        <v>11</v>
      </c>
      <c r="B1037" s="1" t="s">
        <v>145</v>
      </c>
      <c r="C1037" s="4">
        <v>18</v>
      </c>
      <c r="D1037" s="8">
        <v>1.91</v>
      </c>
      <c r="E1037" s="4">
        <v>13</v>
      </c>
      <c r="F1037" s="8">
        <v>2.21</v>
      </c>
      <c r="G1037" s="4">
        <v>5</v>
      </c>
      <c r="H1037" s="8">
        <v>1.41</v>
      </c>
      <c r="I1037" s="4">
        <v>0</v>
      </c>
    </row>
    <row r="1038" spans="1:9" x14ac:dyDescent="0.15">
      <c r="A1038" s="2">
        <v>13</v>
      </c>
      <c r="B1038" s="1" t="s">
        <v>166</v>
      </c>
      <c r="C1038" s="4">
        <v>17</v>
      </c>
      <c r="D1038" s="8">
        <v>1.8</v>
      </c>
      <c r="E1038" s="4">
        <v>7</v>
      </c>
      <c r="F1038" s="8">
        <v>1.19</v>
      </c>
      <c r="G1038" s="4">
        <v>10</v>
      </c>
      <c r="H1038" s="8">
        <v>2.82</v>
      </c>
      <c r="I1038" s="4">
        <v>0</v>
      </c>
    </row>
    <row r="1039" spans="1:9" x14ac:dyDescent="0.15">
      <c r="A1039" s="2">
        <v>13</v>
      </c>
      <c r="B1039" s="1" t="s">
        <v>150</v>
      </c>
      <c r="C1039" s="4">
        <v>17</v>
      </c>
      <c r="D1039" s="8">
        <v>1.8</v>
      </c>
      <c r="E1039" s="4">
        <v>15</v>
      </c>
      <c r="F1039" s="8">
        <v>2.56</v>
      </c>
      <c r="G1039" s="4">
        <v>2</v>
      </c>
      <c r="H1039" s="8">
        <v>0.56000000000000005</v>
      </c>
      <c r="I1039" s="4">
        <v>0</v>
      </c>
    </row>
    <row r="1040" spans="1:9" x14ac:dyDescent="0.15">
      <c r="A1040" s="2">
        <v>15</v>
      </c>
      <c r="B1040" s="1" t="s">
        <v>139</v>
      </c>
      <c r="C1040" s="4">
        <v>16</v>
      </c>
      <c r="D1040" s="8">
        <v>1.7</v>
      </c>
      <c r="E1040" s="4">
        <v>6</v>
      </c>
      <c r="F1040" s="8">
        <v>1.02</v>
      </c>
      <c r="G1040" s="4">
        <v>10</v>
      </c>
      <c r="H1040" s="8">
        <v>2.82</v>
      </c>
      <c r="I1040" s="4">
        <v>0</v>
      </c>
    </row>
    <row r="1041" spans="1:9" x14ac:dyDescent="0.15">
      <c r="A1041" s="2">
        <v>15</v>
      </c>
      <c r="B1041" s="1" t="s">
        <v>160</v>
      </c>
      <c r="C1041" s="4">
        <v>16</v>
      </c>
      <c r="D1041" s="8">
        <v>1.7</v>
      </c>
      <c r="E1041" s="4">
        <v>3</v>
      </c>
      <c r="F1041" s="8">
        <v>0.51</v>
      </c>
      <c r="G1041" s="4">
        <v>13</v>
      </c>
      <c r="H1041" s="8">
        <v>3.66</v>
      </c>
      <c r="I1041" s="4">
        <v>0</v>
      </c>
    </row>
    <row r="1042" spans="1:9" x14ac:dyDescent="0.15">
      <c r="A1042" s="2">
        <v>15</v>
      </c>
      <c r="B1042" s="1" t="s">
        <v>157</v>
      </c>
      <c r="C1042" s="4">
        <v>16</v>
      </c>
      <c r="D1042" s="8">
        <v>1.7</v>
      </c>
      <c r="E1042" s="4">
        <v>13</v>
      </c>
      <c r="F1042" s="8">
        <v>2.21</v>
      </c>
      <c r="G1042" s="4">
        <v>3</v>
      </c>
      <c r="H1042" s="8">
        <v>0.85</v>
      </c>
      <c r="I1042" s="4">
        <v>0</v>
      </c>
    </row>
    <row r="1043" spans="1:9" x14ac:dyDescent="0.15">
      <c r="A1043" s="2">
        <v>18</v>
      </c>
      <c r="B1043" s="1" t="s">
        <v>152</v>
      </c>
      <c r="C1043" s="4">
        <v>15</v>
      </c>
      <c r="D1043" s="8">
        <v>1.59</v>
      </c>
      <c r="E1043" s="4">
        <v>15</v>
      </c>
      <c r="F1043" s="8">
        <v>2.56</v>
      </c>
      <c r="G1043" s="4">
        <v>0</v>
      </c>
      <c r="H1043" s="8">
        <v>0</v>
      </c>
      <c r="I1043" s="4">
        <v>0</v>
      </c>
    </row>
    <row r="1044" spans="1:9" x14ac:dyDescent="0.15">
      <c r="A1044" s="2">
        <v>19</v>
      </c>
      <c r="B1044" s="1" t="s">
        <v>144</v>
      </c>
      <c r="C1044" s="4">
        <v>13</v>
      </c>
      <c r="D1044" s="8">
        <v>1.38</v>
      </c>
      <c r="E1044" s="4">
        <v>6</v>
      </c>
      <c r="F1044" s="8">
        <v>1.02</v>
      </c>
      <c r="G1044" s="4">
        <v>7</v>
      </c>
      <c r="H1044" s="8">
        <v>1.97</v>
      </c>
      <c r="I1044" s="4">
        <v>0</v>
      </c>
    </row>
    <row r="1045" spans="1:9" x14ac:dyDescent="0.15">
      <c r="A1045" s="2">
        <v>20</v>
      </c>
      <c r="B1045" s="1" t="s">
        <v>143</v>
      </c>
      <c r="C1045" s="4">
        <v>12</v>
      </c>
      <c r="D1045" s="8">
        <v>1.27</v>
      </c>
      <c r="E1045" s="4">
        <v>6</v>
      </c>
      <c r="F1045" s="8">
        <v>1.02</v>
      </c>
      <c r="G1045" s="4">
        <v>6</v>
      </c>
      <c r="H1045" s="8">
        <v>1.69</v>
      </c>
      <c r="I1045" s="4">
        <v>0</v>
      </c>
    </row>
    <row r="1046" spans="1:9" x14ac:dyDescent="0.15">
      <c r="A1046" s="1"/>
      <c r="C1046" s="4"/>
      <c r="D1046" s="8"/>
      <c r="E1046" s="4"/>
      <c r="F1046" s="8"/>
      <c r="G1046" s="4"/>
      <c r="H1046" s="8"/>
      <c r="I1046" s="4"/>
    </row>
    <row r="1047" spans="1:9" x14ac:dyDescent="0.15">
      <c r="A1047" s="1" t="s">
        <v>47</v>
      </c>
      <c r="C1047" s="4"/>
      <c r="D1047" s="8"/>
      <c r="E1047" s="4"/>
      <c r="F1047" s="8"/>
      <c r="G1047" s="4"/>
      <c r="H1047" s="8"/>
      <c r="I1047" s="4"/>
    </row>
    <row r="1048" spans="1:9" x14ac:dyDescent="0.15">
      <c r="A1048" s="2">
        <v>1</v>
      </c>
      <c r="B1048" s="1" t="s">
        <v>148</v>
      </c>
      <c r="C1048" s="4">
        <v>201</v>
      </c>
      <c r="D1048" s="8">
        <v>11</v>
      </c>
      <c r="E1048" s="4">
        <v>191</v>
      </c>
      <c r="F1048" s="8">
        <v>22.18</v>
      </c>
      <c r="G1048" s="4">
        <v>10</v>
      </c>
      <c r="H1048" s="8">
        <v>1.04</v>
      </c>
      <c r="I1048" s="4">
        <v>0</v>
      </c>
    </row>
    <row r="1049" spans="1:9" x14ac:dyDescent="0.15">
      <c r="A1049" s="2">
        <v>2</v>
      </c>
      <c r="B1049" s="1" t="s">
        <v>147</v>
      </c>
      <c r="C1049" s="4">
        <v>99</v>
      </c>
      <c r="D1049" s="8">
        <v>5.42</v>
      </c>
      <c r="E1049" s="4">
        <v>64</v>
      </c>
      <c r="F1049" s="8">
        <v>7.43</v>
      </c>
      <c r="G1049" s="4">
        <v>35</v>
      </c>
      <c r="H1049" s="8">
        <v>3.63</v>
      </c>
      <c r="I1049" s="4">
        <v>0</v>
      </c>
    </row>
    <row r="1050" spans="1:9" x14ac:dyDescent="0.15">
      <c r="A1050" s="2">
        <v>3</v>
      </c>
      <c r="B1050" s="1" t="s">
        <v>155</v>
      </c>
      <c r="C1050" s="4">
        <v>69</v>
      </c>
      <c r="D1050" s="8">
        <v>3.78</v>
      </c>
      <c r="E1050" s="4">
        <v>65</v>
      </c>
      <c r="F1050" s="8">
        <v>7.55</v>
      </c>
      <c r="G1050" s="4">
        <v>4</v>
      </c>
      <c r="H1050" s="8">
        <v>0.41</v>
      </c>
      <c r="I1050" s="4">
        <v>0</v>
      </c>
    </row>
    <row r="1051" spans="1:9" x14ac:dyDescent="0.15">
      <c r="A1051" s="2">
        <v>4</v>
      </c>
      <c r="B1051" s="1" t="s">
        <v>176</v>
      </c>
      <c r="C1051" s="4">
        <v>56</v>
      </c>
      <c r="D1051" s="8">
        <v>3.07</v>
      </c>
      <c r="E1051" s="4">
        <v>9</v>
      </c>
      <c r="F1051" s="8">
        <v>1.05</v>
      </c>
      <c r="G1051" s="4">
        <v>47</v>
      </c>
      <c r="H1051" s="8">
        <v>4.87</v>
      </c>
      <c r="I1051" s="4">
        <v>0</v>
      </c>
    </row>
    <row r="1052" spans="1:9" x14ac:dyDescent="0.15">
      <c r="A1052" s="2">
        <v>5</v>
      </c>
      <c r="B1052" s="1" t="s">
        <v>173</v>
      </c>
      <c r="C1052" s="4">
        <v>54</v>
      </c>
      <c r="D1052" s="8">
        <v>2.96</v>
      </c>
      <c r="E1052" s="4">
        <v>47</v>
      </c>
      <c r="F1052" s="8">
        <v>5.46</v>
      </c>
      <c r="G1052" s="4">
        <v>7</v>
      </c>
      <c r="H1052" s="8">
        <v>0.73</v>
      </c>
      <c r="I1052" s="4">
        <v>0</v>
      </c>
    </row>
    <row r="1053" spans="1:9" x14ac:dyDescent="0.15">
      <c r="A1053" s="2">
        <v>6</v>
      </c>
      <c r="B1053" s="1" t="s">
        <v>141</v>
      </c>
      <c r="C1053" s="4">
        <v>46</v>
      </c>
      <c r="D1053" s="8">
        <v>2.52</v>
      </c>
      <c r="E1053" s="4">
        <v>4</v>
      </c>
      <c r="F1053" s="8">
        <v>0.46</v>
      </c>
      <c r="G1053" s="4">
        <v>42</v>
      </c>
      <c r="H1053" s="8">
        <v>4.3499999999999996</v>
      </c>
      <c r="I1053" s="4">
        <v>0</v>
      </c>
    </row>
    <row r="1054" spans="1:9" x14ac:dyDescent="0.15">
      <c r="A1054" s="2">
        <v>7</v>
      </c>
      <c r="B1054" s="1" t="s">
        <v>154</v>
      </c>
      <c r="C1054" s="4">
        <v>40</v>
      </c>
      <c r="D1054" s="8">
        <v>2.19</v>
      </c>
      <c r="E1054" s="4">
        <v>37</v>
      </c>
      <c r="F1054" s="8">
        <v>4.3</v>
      </c>
      <c r="G1054" s="4">
        <v>3</v>
      </c>
      <c r="H1054" s="8">
        <v>0.31</v>
      </c>
      <c r="I1054" s="4">
        <v>0</v>
      </c>
    </row>
    <row r="1055" spans="1:9" x14ac:dyDescent="0.15">
      <c r="A1055" s="2">
        <v>8</v>
      </c>
      <c r="B1055" s="1" t="s">
        <v>181</v>
      </c>
      <c r="C1055" s="4">
        <v>37</v>
      </c>
      <c r="D1055" s="8">
        <v>2.0299999999999998</v>
      </c>
      <c r="E1055" s="4">
        <v>19</v>
      </c>
      <c r="F1055" s="8">
        <v>2.21</v>
      </c>
      <c r="G1055" s="4">
        <v>18</v>
      </c>
      <c r="H1055" s="8">
        <v>1.87</v>
      </c>
      <c r="I1055" s="4">
        <v>0</v>
      </c>
    </row>
    <row r="1056" spans="1:9" x14ac:dyDescent="0.15">
      <c r="A1056" s="2">
        <v>9</v>
      </c>
      <c r="B1056" s="1" t="s">
        <v>138</v>
      </c>
      <c r="C1056" s="4">
        <v>33</v>
      </c>
      <c r="D1056" s="8">
        <v>1.81</v>
      </c>
      <c r="E1056" s="4">
        <v>2</v>
      </c>
      <c r="F1056" s="8">
        <v>0.23</v>
      </c>
      <c r="G1056" s="4">
        <v>31</v>
      </c>
      <c r="H1056" s="8">
        <v>3.21</v>
      </c>
      <c r="I1056" s="4">
        <v>0</v>
      </c>
    </row>
    <row r="1057" spans="1:9" x14ac:dyDescent="0.15">
      <c r="A1057" s="2">
        <v>9</v>
      </c>
      <c r="B1057" s="1" t="s">
        <v>156</v>
      </c>
      <c r="C1057" s="4">
        <v>33</v>
      </c>
      <c r="D1057" s="8">
        <v>1.81</v>
      </c>
      <c r="E1057" s="4">
        <v>31</v>
      </c>
      <c r="F1057" s="8">
        <v>3.6</v>
      </c>
      <c r="G1057" s="4">
        <v>2</v>
      </c>
      <c r="H1057" s="8">
        <v>0.21</v>
      </c>
      <c r="I1057" s="4">
        <v>0</v>
      </c>
    </row>
    <row r="1058" spans="1:9" x14ac:dyDescent="0.15">
      <c r="A1058" s="2">
        <v>11</v>
      </c>
      <c r="B1058" s="1" t="s">
        <v>177</v>
      </c>
      <c r="C1058" s="4">
        <v>32</v>
      </c>
      <c r="D1058" s="8">
        <v>1.75</v>
      </c>
      <c r="E1058" s="4">
        <v>6</v>
      </c>
      <c r="F1058" s="8">
        <v>0.7</v>
      </c>
      <c r="G1058" s="4">
        <v>26</v>
      </c>
      <c r="H1058" s="8">
        <v>2.69</v>
      </c>
      <c r="I1058" s="4">
        <v>0</v>
      </c>
    </row>
    <row r="1059" spans="1:9" x14ac:dyDescent="0.15">
      <c r="A1059" s="2">
        <v>11</v>
      </c>
      <c r="B1059" s="1" t="s">
        <v>190</v>
      </c>
      <c r="C1059" s="4">
        <v>32</v>
      </c>
      <c r="D1059" s="8">
        <v>1.75</v>
      </c>
      <c r="E1059" s="4">
        <v>4</v>
      </c>
      <c r="F1059" s="8">
        <v>0.46</v>
      </c>
      <c r="G1059" s="4">
        <v>28</v>
      </c>
      <c r="H1059" s="8">
        <v>2.9</v>
      </c>
      <c r="I1059" s="4">
        <v>0</v>
      </c>
    </row>
    <row r="1060" spans="1:9" x14ac:dyDescent="0.15">
      <c r="A1060" s="2">
        <v>13</v>
      </c>
      <c r="B1060" s="1" t="s">
        <v>174</v>
      </c>
      <c r="C1060" s="4">
        <v>31</v>
      </c>
      <c r="D1060" s="8">
        <v>1.7</v>
      </c>
      <c r="E1060" s="4">
        <v>12</v>
      </c>
      <c r="F1060" s="8">
        <v>1.39</v>
      </c>
      <c r="G1060" s="4">
        <v>19</v>
      </c>
      <c r="H1060" s="8">
        <v>1.97</v>
      </c>
      <c r="I1060" s="4">
        <v>0</v>
      </c>
    </row>
    <row r="1061" spans="1:9" x14ac:dyDescent="0.15">
      <c r="A1061" s="2">
        <v>13</v>
      </c>
      <c r="B1061" s="1" t="s">
        <v>140</v>
      </c>
      <c r="C1061" s="4">
        <v>31</v>
      </c>
      <c r="D1061" s="8">
        <v>1.7</v>
      </c>
      <c r="E1061" s="4">
        <v>7</v>
      </c>
      <c r="F1061" s="8">
        <v>0.81</v>
      </c>
      <c r="G1061" s="4">
        <v>24</v>
      </c>
      <c r="H1061" s="8">
        <v>2.4900000000000002</v>
      </c>
      <c r="I1061" s="4">
        <v>0</v>
      </c>
    </row>
    <row r="1062" spans="1:9" x14ac:dyDescent="0.15">
      <c r="A1062" s="2">
        <v>15</v>
      </c>
      <c r="B1062" s="1" t="s">
        <v>189</v>
      </c>
      <c r="C1062" s="4">
        <v>28</v>
      </c>
      <c r="D1062" s="8">
        <v>1.53</v>
      </c>
      <c r="E1062" s="4">
        <v>7</v>
      </c>
      <c r="F1062" s="8">
        <v>0.81</v>
      </c>
      <c r="G1062" s="4">
        <v>21</v>
      </c>
      <c r="H1062" s="8">
        <v>2.1800000000000002</v>
      </c>
      <c r="I1062" s="4">
        <v>0</v>
      </c>
    </row>
    <row r="1063" spans="1:9" x14ac:dyDescent="0.15">
      <c r="A1063" s="2">
        <v>16</v>
      </c>
      <c r="B1063" s="1" t="s">
        <v>158</v>
      </c>
      <c r="C1063" s="4">
        <v>27</v>
      </c>
      <c r="D1063" s="8">
        <v>1.48</v>
      </c>
      <c r="E1063" s="4">
        <v>8</v>
      </c>
      <c r="F1063" s="8">
        <v>0.93</v>
      </c>
      <c r="G1063" s="4">
        <v>19</v>
      </c>
      <c r="H1063" s="8">
        <v>1.97</v>
      </c>
      <c r="I1063" s="4">
        <v>0</v>
      </c>
    </row>
    <row r="1064" spans="1:9" x14ac:dyDescent="0.15">
      <c r="A1064" s="2">
        <v>16</v>
      </c>
      <c r="B1064" s="1" t="s">
        <v>150</v>
      </c>
      <c r="C1064" s="4">
        <v>27</v>
      </c>
      <c r="D1064" s="8">
        <v>1.48</v>
      </c>
      <c r="E1064" s="4">
        <v>20</v>
      </c>
      <c r="F1064" s="8">
        <v>2.3199999999999998</v>
      </c>
      <c r="G1064" s="4">
        <v>7</v>
      </c>
      <c r="H1064" s="8">
        <v>0.73</v>
      </c>
      <c r="I1064" s="4">
        <v>0</v>
      </c>
    </row>
    <row r="1065" spans="1:9" x14ac:dyDescent="0.15">
      <c r="A1065" s="2">
        <v>16</v>
      </c>
      <c r="B1065" s="1" t="s">
        <v>151</v>
      </c>
      <c r="C1065" s="4">
        <v>27</v>
      </c>
      <c r="D1065" s="8">
        <v>1.48</v>
      </c>
      <c r="E1065" s="4">
        <v>23</v>
      </c>
      <c r="F1065" s="8">
        <v>2.67</v>
      </c>
      <c r="G1065" s="4">
        <v>4</v>
      </c>
      <c r="H1065" s="8">
        <v>0.41</v>
      </c>
      <c r="I1065" s="4">
        <v>0</v>
      </c>
    </row>
    <row r="1066" spans="1:9" x14ac:dyDescent="0.15">
      <c r="A1066" s="2">
        <v>19</v>
      </c>
      <c r="B1066" s="1" t="s">
        <v>157</v>
      </c>
      <c r="C1066" s="4">
        <v>25</v>
      </c>
      <c r="D1066" s="8">
        <v>1.37</v>
      </c>
      <c r="E1066" s="4">
        <v>20</v>
      </c>
      <c r="F1066" s="8">
        <v>2.3199999999999998</v>
      </c>
      <c r="G1066" s="4">
        <v>5</v>
      </c>
      <c r="H1066" s="8">
        <v>0.52</v>
      </c>
      <c r="I1066" s="4">
        <v>0</v>
      </c>
    </row>
    <row r="1067" spans="1:9" x14ac:dyDescent="0.15">
      <c r="A1067" s="2">
        <v>20</v>
      </c>
      <c r="B1067" s="1" t="s">
        <v>139</v>
      </c>
      <c r="C1067" s="4">
        <v>22</v>
      </c>
      <c r="D1067" s="8">
        <v>1.2</v>
      </c>
      <c r="E1067" s="4">
        <v>4</v>
      </c>
      <c r="F1067" s="8">
        <v>0.46</v>
      </c>
      <c r="G1067" s="4">
        <v>18</v>
      </c>
      <c r="H1067" s="8">
        <v>1.87</v>
      </c>
      <c r="I1067" s="4">
        <v>0</v>
      </c>
    </row>
    <row r="1068" spans="1:9" x14ac:dyDescent="0.15">
      <c r="A1068" s="2">
        <v>20</v>
      </c>
      <c r="B1068" s="1" t="s">
        <v>160</v>
      </c>
      <c r="C1068" s="4">
        <v>22</v>
      </c>
      <c r="D1068" s="8">
        <v>1.2</v>
      </c>
      <c r="E1068" s="4">
        <v>8</v>
      </c>
      <c r="F1068" s="8">
        <v>0.93</v>
      </c>
      <c r="G1068" s="4">
        <v>14</v>
      </c>
      <c r="H1068" s="8">
        <v>1.45</v>
      </c>
      <c r="I1068" s="4">
        <v>0</v>
      </c>
    </row>
    <row r="1069" spans="1:9" x14ac:dyDescent="0.15">
      <c r="A1069" s="2">
        <v>20</v>
      </c>
      <c r="B1069" s="1" t="s">
        <v>149</v>
      </c>
      <c r="C1069" s="4">
        <v>22</v>
      </c>
      <c r="D1069" s="8">
        <v>1.2</v>
      </c>
      <c r="E1069" s="4">
        <v>7</v>
      </c>
      <c r="F1069" s="8">
        <v>0.81</v>
      </c>
      <c r="G1069" s="4">
        <v>15</v>
      </c>
      <c r="H1069" s="8">
        <v>1.55</v>
      </c>
      <c r="I1069" s="4">
        <v>0</v>
      </c>
    </row>
    <row r="1070" spans="1:9" x14ac:dyDescent="0.15">
      <c r="A1070" s="1"/>
      <c r="C1070" s="4"/>
      <c r="D1070" s="8"/>
      <c r="E1070" s="4"/>
      <c r="F1070" s="8"/>
      <c r="G1070" s="4"/>
      <c r="H1070" s="8"/>
      <c r="I1070" s="4"/>
    </row>
    <row r="1071" spans="1:9" x14ac:dyDescent="0.15">
      <c r="A1071" s="1" t="s">
        <v>48</v>
      </c>
      <c r="C1071" s="4"/>
      <c r="D1071" s="8"/>
      <c r="E1071" s="4"/>
      <c r="F1071" s="8"/>
      <c r="G1071" s="4"/>
      <c r="H1071" s="8"/>
      <c r="I1071" s="4"/>
    </row>
    <row r="1072" spans="1:9" x14ac:dyDescent="0.15">
      <c r="A1072" s="2">
        <v>1</v>
      </c>
      <c r="B1072" s="1" t="s">
        <v>150</v>
      </c>
      <c r="C1072" s="4">
        <v>37</v>
      </c>
      <c r="D1072" s="8">
        <v>6.04</v>
      </c>
      <c r="E1072" s="4">
        <v>24</v>
      </c>
      <c r="F1072" s="8">
        <v>8.86</v>
      </c>
      <c r="G1072" s="4">
        <v>13</v>
      </c>
      <c r="H1072" s="8">
        <v>3.85</v>
      </c>
      <c r="I1072" s="4">
        <v>0</v>
      </c>
    </row>
    <row r="1073" spans="1:9" x14ac:dyDescent="0.15">
      <c r="A1073" s="2">
        <v>2</v>
      </c>
      <c r="B1073" s="1" t="s">
        <v>155</v>
      </c>
      <c r="C1073" s="4">
        <v>26</v>
      </c>
      <c r="D1073" s="8">
        <v>4.24</v>
      </c>
      <c r="E1073" s="4">
        <v>22</v>
      </c>
      <c r="F1073" s="8">
        <v>8.1199999999999992</v>
      </c>
      <c r="G1073" s="4">
        <v>4</v>
      </c>
      <c r="H1073" s="8">
        <v>1.18</v>
      </c>
      <c r="I1073" s="4">
        <v>0</v>
      </c>
    </row>
    <row r="1074" spans="1:9" x14ac:dyDescent="0.15">
      <c r="A1074" s="2">
        <v>3</v>
      </c>
      <c r="B1074" s="1" t="s">
        <v>145</v>
      </c>
      <c r="C1074" s="4">
        <v>20</v>
      </c>
      <c r="D1074" s="8">
        <v>3.26</v>
      </c>
      <c r="E1074" s="4">
        <v>15</v>
      </c>
      <c r="F1074" s="8">
        <v>5.54</v>
      </c>
      <c r="G1074" s="4">
        <v>5</v>
      </c>
      <c r="H1074" s="8">
        <v>1.48</v>
      </c>
      <c r="I1074" s="4">
        <v>0</v>
      </c>
    </row>
    <row r="1075" spans="1:9" x14ac:dyDescent="0.15">
      <c r="A1075" s="2">
        <v>3</v>
      </c>
      <c r="B1075" s="1" t="s">
        <v>148</v>
      </c>
      <c r="C1075" s="4">
        <v>20</v>
      </c>
      <c r="D1075" s="8">
        <v>3.26</v>
      </c>
      <c r="E1075" s="4">
        <v>2</v>
      </c>
      <c r="F1075" s="8">
        <v>0.74</v>
      </c>
      <c r="G1075" s="4">
        <v>18</v>
      </c>
      <c r="H1075" s="8">
        <v>5.33</v>
      </c>
      <c r="I1075" s="4">
        <v>0</v>
      </c>
    </row>
    <row r="1076" spans="1:9" x14ac:dyDescent="0.15">
      <c r="A1076" s="2">
        <v>5</v>
      </c>
      <c r="B1076" s="1" t="s">
        <v>174</v>
      </c>
      <c r="C1076" s="4">
        <v>17</v>
      </c>
      <c r="D1076" s="8">
        <v>2.77</v>
      </c>
      <c r="E1076" s="4">
        <v>4</v>
      </c>
      <c r="F1076" s="8">
        <v>1.48</v>
      </c>
      <c r="G1076" s="4">
        <v>13</v>
      </c>
      <c r="H1076" s="8">
        <v>3.85</v>
      </c>
      <c r="I1076" s="4">
        <v>0</v>
      </c>
    </row>
    <row r="1077" spans="1:9" x14ac:dyDescent="0.15">
      <c r="A1077" s="2">
        <v>6</v>
      </c>
      <c r="B1077" s="1" t="s">
        <v>139</v>
      </c>
      <c r="C1077" s="4">
        <v>16</v>
      </c>
      <c r="D1077" s="8">
        <v>2.61</v>
      </c>
      <c r="E1077" s="4">
        <v>4</v>
      </c>
      <c r="F1077" s="8">
        <v>1.48</v>
      </c>
      <c r="G1077" s="4">
        <v>12</v>
      </c>
      <c r="H1077" s="8">
        <v>3.55</v>
      </c>
      <c r="I1077" s="4">
        <v>0</v>
      </c>
    </row>
    <row r="1078" spans="1:9" x14ac:dyDescent="0.15">
      <c r="A1078" s="2">
        <v>7</v>
      </c>
      <c r="B1078" s="1" t="s">
        <v>144</v>
      </c>
      <c r="C1078" s="4">
        <v>15</v>
      </c>
      <c r="D1078" s="8">
        <v>2.4500000000000002</v>
      </c>
      <c r="E1078" s="4">
        <v>3</v>
      </c>
      <c r="F1078" s="8">
        <v>1.1100000000000001</v>
      </c>
      <c r="G1078" s="4">
        <v>12</v>
      </c>
      <c r="H1078" s="8">
        <v>3.55</v>
      </c>
      <c r="I1078" s="4">
        <v>0</v>
      </c>
    </row>
    <row r="1079" spans="1:9" x14ac:dyDescent="0.15">
      <c r="A1079" s="2">
        <v>8</v>
      </c>
      <c r="B1079" s="1" t="s">
        <v>138</v>
      </c>
      <c r="C1079" s="4">
        <v>14</v>
      </c>
      <c r="D1079" s="8">
        <v>2.2799999999999998</v>
      </c>
      <c r="E1079" s="4">
        <v>1</v>
      </c>
      <c r="F1079" s="8">
        <v>0.37</v>
      </c>
      <c r="G1079" s="4">
        <v>13</v>
      </c>
      <c r="H1079" s="8">
        <v>3.85</v>
      </c>
      <c r="I1079" s="4">
        <v>0</v>
      </c>
    </row>
    <row r="1080" spans="1:9" x14ac:dyDescent="0.15">
      <c r="A1080" s="2">
        <v>8</v>
      </c>
      <c r="B1080" s="1" t="s">
        <v>146</v>
      </c>
      <c r="C1080" s="4">
        <v>14</v>
      </c>
      <c r="D1080" s="8">
        <v>2.2799999999999998</v>
      </c>
      <c r="E1080" s="4">
        <v>2</v>
      </c>
      <c r="F1080" s="8">
        <v>0.74</v>
      </c>
      <c r="G1080" s="4">
        <v>12</v>
      </c>
      <c r="H1080" s="8">
        <v>3.55</v>
      </c>
      <c r="I1080" s="4">
        <v>0</v>
      </c>
    </row>
    <row r="1081" spans="1:9" x14ac:dyDescent="0.15">
      <c r="A1081" s="2">
        <v>8</v>
      </c>
      <c r="B1081" s="1" t="s">
        <v>159</v>
      </c>
      <c r="C1081" s="4">
        <v>14</v>
      </c>
      <c r="D1081" s="8">
        <v>2.2799999999999998</v>
      </c>
      <c r="E1081" s="4">
        <v>9</v>
      </c>
      <c r="F1081" s="8">
        <v>3.32</v>
      </c>
      <c r="G1081" s="4">
        <v>5</v>
      </c>
      <c r="H1081" s="8">
        <v>1.48</v>
      </c>
      <c r="I1081" s="4">
        <v>0</v>
      </c>
    </row>
    <row r="1082" spans="1:9" x14ac:dyDescent="0.15">
      <c r="A1082" s="2">
        <v>11</v>
      </c>
      <c r="B1082" s="1" t="s">
        <v>149</v>
      </c>
      <c r="C1082" s="4">
        <v>13</v>
      </c>
      <c r="D1082" s="8">
        <v>2.12</v>
      </c>
      <c r="E1082" s="4">
        <v>0</v>
      </c>
      <c r="F1082" s="8">
        <v>0</v>
      </c>
      <c r="G1082" s="4">
        <v>13</v>
      </c>
      <c r="H1082" s="8">
        <v>3.85</v>
      </c>
      <c r="I1082" s="4">
        <v>0</v>
      </c>
    </row>
    <row r="1083" spans="1:9" x14ac:dyDescent="0.15">
      <c r="A1083" s="2">
        <v>11</v>
      </c>
      <c r="B1083" s="1" t="s">
        <v>157</v>
      </c>
      <c r="C1083" s="4">
        <v>13</v>
      </c>
      <c r="D1083" s="8">
        <v>2.12</v>
      </c>
      <c r="E1083" s="4">
        <v>8</v>
      </c>
      <c r="F1083" s="8">
        <v>2.95</v>
      </c>
      <c r="G1083" s="4">
        <v>5</v>
      </c>
      <c r="H1083" s="8">
        <v>1.48</v>
      </c>
      <c r="I1083" s="4">
        <v>0</v>
      </c>
    </row>
    <row r="1084" spans="1:9" x14ac:dyDescent="0.15">
      <c r="A1084" s="2">
        <v>13</v>
      </c>
      <c r="B1084" s="1" t="s">
        <v>166</v>
      </c>
      <c r="C1084" s="4">
        <v>12</v>
      </c>
      <c r="D1084" s="8">
        <v>1.96</v>
      </c>
      <c r="E1084" s="4">
        <v>10</v>
      </c>
      <c r="F1084" s="8">
        <v>3.69</v>
      </c>
      <c r="G1084" s="4">
        <v>2</v>
      </c>
      <c r="H1084" s="8">
        <v>0.59</v>
      </c>
      <c r="I1084" s="4">
        <v>0</v>
      </c>
    </row>
    <row r="1085" spans="1:9" x14ac:dyDescent="0.15">
      <c r="A1085" s="2">
        <v>14</v>
      </c>
      <c r="B1085" s="1" t="s">
        <v>154</v>
      </c>
      <c r="C1085" s="4">
        <v>11</v>
      </c>
      <c r="D1085" s="8">
        <v>1.79</v>
      </c>
      <c r="E1085" s="4">
        <v>11</v>
      </c>
      <c r="F1085" s="8">
        <v>4.0599999999999996</v>
      </c>
      <c r="G1085" s="4">
        <v>0</v>
      </c>
      <c r="H1085" s="8">
        <v>0</v>
      </c>
      <c r="I1085" s="4">
        <v>0</v>
      </c>
    </row>
    <row r="1086" spans="1:9" x14ac:dyDescent="0.15">
      <c r="A1086" s="2">
        <v>15</v>
      </c>
      <c r="B1086" s="1" t="s">
        <v>142</v>
      </c>
      <c r="C1086" s="4">
        <v>10</v>
      </c>
      <c r="D1086" s="8">
        <v>1.63</v>
      </c>
      <c r="E1086" s="4">
        <v>7</v>
      </c>
      <c r="F1086" s="8">
        <v>2.58</v>
      </c>
      <c r="G1086" s="4">
        <v>3</v>
      </c>
      <c r="H1086" s="8">
        <v>0.89</v>
      </c>
      <c r="I1086" s="4">
        <v>0</v>
      </c>
    </row>
    <row r="1087" spans="1:9" x14ac:dyDescent="0.15">
      <c r="A1087" s="2">
        <v>15</v>
      </c>
      <c r="B1087" s="1" t="s">
        <v>183</v>
      </c>
      <c r="C1087" s="4">
        <v>10</v>
      </c>
      <c r="D1087" s="8">
        <v>1.63</v>
      </c>
      <c r="E1087" s="4">
        <v>7</v>
      </c>
      <c r="F1087" s="8">
        <v>2.58</v>
      </c>
      <c r="G1087" s="4">
        <v>3</v>
      </c>
      <c r="H1087" s="8">
        <v>0.89</v>
      </c>
      <c r="I1087" s="4">
        <v>0</v>
      </c>
    </row>
    <row r="1088" spans="1:9" x14ac:dyDescent="0.15">
      <c r="A1088" s="2">
        <v>15</v>
      </c>
      <c r="B1088" s="1" t="s">
        <v>188</v>
      </c>
      <c r="C1088" s="4">
        <v>10</v>
      </c>
      <c r="D1088" s="8">
        <v>1.63</v>
      </c>
      <c r="E1088" s="4">
        <v>3</v>
      </c>
      <c r="F1088" s="8">
        <v>1.1100000000000001</v>
      </c>
      <c r="G1088" s="4">
        <v>7</v>
      </c>
      <c r="H1088" s="8">
        <v>2.0699999999999998</v>
      </c>
      <c r="I1088" s="4">
        <v>0</v>
      </c>
    </row>
    <row r="1089" spans="1:9" x14ac:dyDescent="0.15">
      <c r="A1089" s="2">
        <v>18</v>
      </c>
      <c r="B1089" s="1" t="s">
        <v>160</v>
      </c>
      <c r="C1089" s="4">
        <v>9</v>
      </c>
      <c r="D1089" s="8">
        <v>1.47</v>
      </c>
      <c r="E1089" s="4">
        <v>7</v>
      </c>
      <c r="F1089" s="8">
        <v>2.58</v>
      </c>
      <c r="G1089" s="4">
        <v>2</v>
      </c>
      <c r="H1089" s="8">
        <v>0.59</v>
      </c>
      <c r="I1089" s="4">
        <v>0</v>
      </c>
    </row>
    <row r="1090" spans="1:9" x14ac:dyDescent="0.15">
      <c r="A1090" s="2">
        <v>18</v>
      </c>
      <c r="B1090" s="1" t="s">
        <v>192</v>
      </c>
      <c r="C1090" s="4">
        <v>9</v>
      </c>
      <c r="D1090" s="8">
        <v>1.47</v>
      </c>
      <c r="E1090" s="4">
        <v>7</v>
      </c>
      <c r="F1090" s="8">
        <v>2.58</v>
      </c>
      <c r="G1090" s="4">
        <v>2</v>
      </c>
      <c r="H1090" s="8">
        <v>0.59</v>
      </c>
      <c r="I1090" s="4">
        <v>0</v>
      </c>
    </row>
    <row r="1091" spans="1:9" x14ac:dyDescent="0.15">
      <c r="A1091" s="2">
        <v>20</v>
      </c>
      <c r="B1091" s="1" t="s">
        <v>191</v>
      </c>
      <c r="C1091" s="4">
        <v>8</v>
      </c>
      <c r="D1091" s="8">
        <v>1.31</v>
      </c>
      <c r="E1091" s="4">
        <v>7</v>
      </c>
      <c r="F1091" s="8">
        <v>2.58</v>
      </c>
      <c r="G1091" s="4">
        <v>1</v>
      </c>
      <c r="H1091" s="8">
        <v>0.3</v>
      </c>
      <c r="I1091" s="4">
        <v>0</v>
      </c>
    </row>
    <row r="1092" spans="1:9" x14ac:dyDescent="0.15">
      <c r="A1092" s="2">
        <v>20</v>
      </c>
      <c r="B1092" s="1" t="s">
        <v>141</v>
      </c>
      <c r="C1092" s="4">
        <v>8</v>
      </c>
      <c r="D1092" s="8">
        <v>1.31</v>
      </c>
      <c r="E1092" s="4">
        <v>0</v>
      </c>
      <c r="F1092" s="8">
        <v>0</v>
      </c>
      <c r="G1092" s="4">
        <v>8</v>
      </c>
      <c r="H1092" s="8">
        <v>2.37</v>
      </c>
      <c r="I1092" s="4">
        <v>0</v>
      </c>
    </row>
    <row r="1093" spans="1:9" x14ac:dyDescent="0.15">
      <c r="A1093" s="2">
        <v>20</v>
      </c>
      <c r="B1093" s="1" t="s">
        <v>143</v>
      </c>
      <c r="C1093" s="4">
        <v>8</v>
      </c>
      <c r="D1093" s="8">
        <v>1.31</v>
      </c>
      <c r="E1093" s="4">
        <v>3</v>
      </c>
      <c r="F1093" s="8">
        <v>1.1100000000000001</v>
      </c>
      <c r="G1093" s="4">
        <v>5</v>
      </c>
      <c r="H1093" s="8">
        <v>1.48</v>
      </c>
      <c r="I1093" s="4">
        <v>0</v>
      </c>
    </row>
    <row r="1094" spans="1:9" x14ac:dyDescent="0.15">
      <c r="A1094" s="2">
        <v>20</v>
      </c>
      <c r="B1094" s="1" t="s">
        <v>182</v>
      </c>
      <c r="C1094" s="4">
        <v>8</v>
      </c>
      <c r="D1094" s="8">
        <v>1.31</v>
      </c>
      <c r="E1094" s="4">
        <v>1</v>
      </c>
      <c r="F1094" s="8">
        <v>0.37</v>
      </c>
      <c r="G1094" s="4">
        <v>7</v>
      </c>
      <c r="H1094" s="8">
        <v>2.0699999999999998</v>
      </c>
      <c r="I1094" s="4">
        <v>0</v>
      </c>
    </row>
    <row r="1095" spans="1:9" x14ac:dyDescent="0.15">
      <c r="A1095" s="2">
        <v>20</v>
      </c>
      <c r="B1095" s="1" t="s">
        <v>156</v>
      </c>
      <c r="C1095" s="4">
        <v>8</v>
      </c>
      <c r="D1095" s="8">
        <v>1.31</v>
      </c>
      <c r="E1095" s="4">
        <v>5</v>
      </c>
      <c r="F1095" s="8">
        <v>1.85</v>
      </c>
      <c r="G1095" s="4">
        <v>3</v>
      </c>
      <c r="H1095" s="8">
        <v>0.89</v>
      </c>
      <c r="I1095" s="4">
        <v>0</v>
      </c>
    </row>
    <row r="1096" spans="1:9" x14ac:dyDescent="0.15">
      <c r="A1096" s="1"/>
      <c r="C1096" s="4"/>
      <c r="D1096" s="8"/>
      <c r="E1096" s="4"/>
      <c r="F1096" s="8"/>
      <c r="G1096" s="4"/>
      <c r="H1096" s="8"/>
      <c r="I1096" s="4"/>
    </row>
    <row r="1097" spans="1:9" x14ac:dyDescent="0.15">
      <c r="A1097" s="1" t="s">
        <v>49</v>
      </c>
      <c r="C1097" s="4"/>
      <c r="D1097" s="8"/>
      <c r="E1097" s="4"/>
      <c r="F1097" s="8"/>
      <c r="G1097" s="4"/>
      <c r="H1097" s="8"/>
      <c r="I1097" s="4"/>
    </row>
    <row r="1098" spans="1:9" x14ac:dyDescent="0.15">
      <c r="A1098" s="2">
        <v>1</v>
      </c>
      <c r="B1098" s="1" t="s">
        <v>148</v>
      </c>
      <c r="C1098" s="4">
        <v>103</v>
      </c>
      <c r="D1098" s="8">
        <v>9.36</v>
      </c>
      <c r="E1098" s="4">
        <v>86</v>
      </c>
      <c r="F1098" s="8">
        <v>15.19</v>
      </c>
      <c r="G1098" s="4">
        <v>17</v>
      </c>
      <c r="H1098" s="8">
        <v>3.19</v>
      </c>
      <c r="I1098" s="4">
        <v>0</v>
      </c>
    </row>
    <row r="1099" spans="1:9" x14ac:dyDescent="0.15">
      <c r="A1099" s="2">
        <v>2</v>
      </c>
      <c r="B1099" s="1" t="s">
        <v>155</v>
      </c>
      <c r="C1099" s="4">
        <v>42</v>
      </c>
      <c r="D1099" s="8">
        <v>3.82</v>
      </c>
      <c r="E1099" s="4">
        <v>36</v>
      </c>
      <c r="F1099" s="8">
        <v>6.36</v>
      </c>
      <c r="G1099" s="4">
        <v>6</v>
      </c>
      <c r="H1099" s="8">
        <v>1.1299999999999999</v>
      </c>
      <c r="I1099" s="4">
        <v>0</v>
      </c>
    </row>
    <row r="1100" spans="1:9" x14ac:dyDescent="0.15">
      <c r="A1100" s="2">
        <v>3</v>
      </c>
      <c r="B1100" s="1" t="s">
        <v>156</v>
      </c>
      <c r="C1100" s="4">
        <v>38</v>
      </c>
      <c r="D1100" s="8">
        <v>3.45</v>
      </c>
      <c r="E1100" s="4">
        <v>32</v>
      </c>
      <c r="F1100" s="8">
        <v>5.65</v>
      </c>
      <c r="G1100" s="4">
        <v>6</v>
      </c>
      <c r="H1100" s="8">
        <v>1.1299999999999999</v>
      </c>
      <c r="I1100" s="4">
        <v>0</v>
      </c>
    </row>
    <row r="1101" spans="1:9" x14ac:dyDescent="0.15">
      <c r="A1101" s="2">
        <v>4</v>
      </c>
      <c r="B1101" s="1" t="s">
        <v>144</v>
      </c>
      <c r="C1101" s="4">
        <v>31</v>
      </c>
      <c r="D1101" s="8">
        <v>2.82</v>
      </c>
      <c r="E1101" s="4">
        <v>14</v>
      </c>
      <c r="F1101" s="8">
        <v>2.4700000000000002</v>
      </c>
      <c r="G1101" s="4">
        <v>17</v>
      </c>
      <c r="H1101" s="8">
        <v>3.19</v>
      </c>
      <c r="I1101" s="4">
        <v>0</v>
      </c>
    </row>
    <row r="1102" spans="1:9" x14ac:dyDescent="0.15">
      <c r="A1102" s="2">
        <v>4</v>
      </c>
      <c r="B1102" s="1" t="s">
        <v>147</v>
      </c>
      <c r="C1102" s="4">
        <v>31</v>
      </c>
      <c r="D1102" s="8">
        <v>2.82</v>
      </c>
      <c r="E1102" s="4">
        <v>16</v>
      </c>
      <c r="F1102" s="8">
        <v>2.83</v>
      </c>
      <c r="G1102" s="4">
        <v>15</v>
      </c>
      <c r="H1102" s="8">
        <v>2.81</v>
      </c>
      <c r="I1102" s="4">
        <v>0</v>
      </c>
    </row>
    <row r="1103" spans="1:9" x14ac:dyDescent="0.15">
      <c r="A1103" s="2">
        <v>4</v>
      </c>
      <c r="B1103" s="1" t="s">
        <v>154</v>
      </c>
      <c r="C1103" s="4">
        <v>31</v>
      </c>
      <c r="D1103" s="8">
        <v>2.82</v>
      </c>
      <c r="E1103" s="4">
        <v>31</v>
      </c>
      <c r="F1103" s="8">
        <v>5.48</v>
      </c>
      <c r="G1103" s="4">
        <v>0</v>
      </c>
      <c r="H1103" s="8">
        <v>0</v>
      </c>
      <c r="I1103" s="4">
        <v>0</v>
      </c>
    </row>
    <row r="1104" spans="1:9" x14ac:dyDescent="0.15">
      <c r="A1104" s="2">
        <v>7</v>
      </c>
      <c r="B1104" s="1" t="s">
        <v>157</v>
      </c>
      <c r="C1104" s="4">
        <v>28</v>
      </c>
      <c r="D1104" s="8">
        <v>2.5499999999999998</v>
      </c>
      <c r="E1104" s="4">
        <v>26</v>
      </c>
      <c r="F1104" s="8">
        <v>4.59</v>
      </c>
      <c r="G1104" s="4">
        <v>2</v>
      </c>
      <c r="H1104" s="8">
        <v>0.38</v>
      </c>
      <c r="I1104" s="4">
        <v>0</v>
      </c>
    </row>
    <row r="1105" spans="1:9" x14ac:dyDescent="0.15">
      <c r="A1105" s="2">
        <v>8</v>
      </c>
      <c r="B1105" s="1" t="s">
        <v>174</v>
      </c>
      <c r="C1105" s="4">
        <v>26</v>
      </c>
      <c r="D1105" s="8">
        <v>2.36</v>
      </c>
      <c r="E1105" s="4">
        <v>9</v>
      </c>
      <c r="F1105" s="8">
        <v>1.59</v>
      </c>
      <c r="G1105" s="4">
        <v>17</v>
      </c>
      <c r="H1105" s="8">
        <v>3.19</v>
      </c>
      <c r="I1105" s="4">
        <v>0</v>
      </c>
    </row>
    <row r="1106" spans="1:9" x14ac:dyDescent="0.15">
      <c r="A1106" s="2">
        <v>8</v>
      </c>
      <c r="B1106" s="1" t="s">
        <v>151</v>
      </c>
      <c r="C1106" s="4">
        <v>26</v>
      </c>
      <c r="D1106" s="8">
        <v>2.36</v>
      </c>
      <c r="E1106" s="4">
        <v>26</v>
      </c>
      <c r="F1106" s="8">
        <v>4.59</v>
      </c>
      <c r="G1106" s="4">
        <v>0</v>
      </c>
      <c r="H1106" s="8">
        <v>0</v>
      </c>
      <c r="I1106" s="4">
        <v>0</v>
      </c>
    </row>
    <row r="1107" spans="1:9" x14ac:dyDescent="0.15">
      <c r="A1107" s="2">
        <v>10</v>
      </c>
      <c r="B1107" s="1" t="s">
        <v>150</v>
      </c>
      <c r="C1107" s="4">
        <v>24</v>
      </c>
      <c r="D1107" s="8">
        <v>2.1800000000000002</v>
      </c>
      <c r="E1107" s="4">
        <v>20</v>
      </c>
      <c r="F1107" s="8">
        <v>3.53</v>
      </c>
      <c r="G1107" s="4">
        <v>4</v>
      </c>
      <c r="H1107" s="8">
        <v>0.75</v>
      </c>
      <c r="I1107" s="4">
        <v>0</v>
      </c>
    </row>
    <row r="1108" spans="1:9" x14ac:dyDescent="0.15">
      <c r="A1108" s="2">
        <v>11</v>
      </c>
      <c r="B1108" s="1" t="s">
        <v>181</v>
      </c>
      <c r="C1108" s="4">
        <v>23</v>
      </c>
      <c r="D1108" s="8">
        <v>2.09</v>
      </c>
      <c r="E1108" s="4">
        <v>15</v>
      </c>
      <c r="F1108" s="8">
        <v>2.65</v>
      </c>
      <c r="G1108" s="4">
        <v>8</v>
      </c>
      <c r="H1108" s="8">
        <v>1.5</v>
      </c>
      <c r="I1108" s="4">
        <v>0</v>
      </c>
    </row>
    <row r="1109" spans="1:9" x14ac:dyDescent="0.15">
      <c r="A1109" s="2">
        <v>12</v>
      </c>
      <c r="B1109" s="1" t="s">
        <v>139</v>
      </c>
      <c r="C1109" s="4">
        <v>21</v>
      </c>
      <c r="D1109" s="8">
        <v>1.91</v>
      </c>
      <c r="E1109" s="4">
        <v>4</v>
      </c>
      <c r="F1109" s="8">
        <v>0.71</v>
      </c>
      <c r="G1109" s="4">
        <v>17</v>
      </c>
      <c r="H1109" s="8">
        <v>3.19</v>
      </c>
      <c r="I1109" s="4">
        <v>0</v>
      </c>
    </row>
    <row r="1110" spans="1:9" x14ac:dyDescent="0.15">
      <c r="A1110" s="2">
        <v>12</v>
      </c>
      <c r="B1110" s="1" t="s">
        <v>145</v>
      </c>
      <c r="C1110" s="4">
        <v>21</v>
      </c>
      <c r="D1110" s="8">
        <v>1.91</v>
      </c>
      <c r="E1110" s="4">
        <v>12</v>
      </c>
      <c r="F1110" s="8">
        <v>2.12</v>
      </c>
      <c r="G1110" s="4">
        <v>9</v>
      </c>
      <c r="H1110" s="8">
        <v>1.69</v>
      </c>
      <c r="I1110" s="4">
        <v>0</v>
      </c>
    </row>
    <row r="1111" spans="1:9" x14ac:dyDescent="0.15">
      <c r="A1111" s="2">
        <v>14</v>
      </c>
      <c r="B1111" s="1" t="s">
        <v>193</v>
      </c>
      <c r="C1111" s="4">
        <v>20</v>
      </c>
      <c r="D1111" s="8">
        <v>1.82</v>
      </c>
      <c r="E1111" s="4">
        <v>3</v>
      </c>
      <c r="F1111" s="8">
        <v>0.53</v>
      </c>
      <c r="G1111" s="4">
        <v>17</v>
      </c>
      <c r="H1111" s="8">
        <v>3.19</v>
      </c>
      <c r="I1111" s="4">
        <v>0</v>
      </c>
    </row>
    <row r="1112" spans="1:9" x14ac:dyDescent="0.15">
      <c r="A1112" s="2">
        <v>14</v>
      </c>
      <c r="B1112" s="1" t="s">
        <v>152</v>
      </c>
      <c r="C1112" s="4">
        <v>20</v>
      </c>
      <c r="D1112" s="8">
        <v>1.82</v>
      </c>
      <c r="E1112" s="4">
        <v>20</v>
      </c>
      <c r="F1112" s="8">
        <v>3.53</v>
      </c>
      <c r="G1112" s="4">
        <v>0</v>
      </c>
      <c r="H1112" s="8">
        <v>0</v>
      </c>
      <c r="I1112" s="4">
        <v>0</v>
      </c>
    </row>
    <row r="1113" spans="1:9" x14ac:dyDescent="0.15">
      <c r="A1113" s="2">
        <v>16</v>
      </c>
      <c r="B1113" s="1" t="s">
        <v>138</v>
      </c>
      <c r="C1113" s="4">
        <v>19</v>
      </c>
      <c r="D1113" s="8">
        <v>1.73</v>
      </c>
      <c r="E1113" s="4">
        <v>1</v>
      </c>
      <c r="F1113" s="8">
        <v>0.18</v>
      </c>
      <c r="G1113" s="4">
        <v>18</v>
      </c>
      <c r="H1113" s="8">
        <v>3.38</v>
      </c>
      <c r="I1113" s="4">
        <v>0</v>
      </c>
    </row>
    <row r="1114" spans="1:9" x14ac:dyDescent="0.15">
      <c r="A1114" s="2">
        <v>17</v>
      </c>
      <c r="B1114" s="1" t="s">
        <v>140</v>
      </c>
      <c r="C1114" s="4">
        <v>18</v>
      </c>
      <c r="D1114" s="8">
        <v>1.64</v>
      </c>
      <c r="E1114" s="4">
        <v>4</v>
      </c>
      <c r="F1114" s="8">
        <v>0.71</v>
      </c>
      <c r="G1114" s="4">
        <v>14</v>
      </c>
      <c r="H1114" s="8">
        <v>2.63</v>
      </c>
      <c r="I1114" s="4">
        <v>0</v>
      </c>
    </row>
    <row r="1115" spans="1:9" x14ac:dyDescent="0.15">
      <c r="A1115" s="2">
        <v>18</v>
      </c>
      <c r="B1115" s="1" t="s">
        <v>143</v>
      </c>
      <c r="C1115" s="4">
        <v>17</v>
      </c>
      <c r="D1115" s="8">
        <v>1.55</v>
      </c>
      <c r="E1115" s="4">
        <v>14</v>
      </c>
      <c r="F1115" s="8">
        <v>2.4700000000000002</v>
      </c>
      <c r="G1115" s="4">
        <v>3</v>
      </c>
      <c r="H1115" s="8">
        <v>0.56000000000000005</v>
      </c>
      <c r="I1115" s="4">
        <v>0</v>
      </c>
    </row>
    <row r="1116" spans="1:9" x14ac:dyDescent="0.15">
      <c r="A1116" s="2">
        <v>18</v>
      </c>
      <c r="B1116" s="1" t="s">
        <v>149</v>
      </c>
      <c r="C1116" s="4">
        <v>17</v>
      </c>
      <c r="D1116" s="8">
        <v>1.55</v>
      </c>
      <c r="E1116" s="4">
        <v>0</v>
      </c>
      <c r="F1116" s="8">
        <v>0</v>
      </c>
      <c r="G1116" s="4">
        <v>17</v>
      </c>
      <c r="H1116" s="8">
        <v>3.19</v>
      </c>
      <c r="I1116" s="4">
        <v>0</v>
      </c>
    </row>
    <row r="1117" spans="1:9" x14ac:dyDescent="0.15">
      <c r="A1117" s="2">
        <v>20</v>
      </c>
      <c r="B1117" s="1" t="s">
        <v>158</v>
      </c>
      <c r="C1117" s="4">
        <v>15</v>
      </c>
      <c r="D1117" s="8">
        <v>1.36</v>
      </c>
      <c r="E1117" s="4">
        <v>0</v>
      </c>
      <c r="F1117" s="8">
        <v>0</v>
      </c>
      <c r="G1117" s="4">
        <v>15</v>
      </c>
      <c r="H1117" s="8">
        <v>2.81</v>
      </c>
      <c r="I1117" s="4">
        <v>0</v>
      </c>
    </row>
    <row r="1118" spans="1:9" x14ac:dyDescent="0.15">
      <c r="A1118" s="2">
        <v>20</v>
      </c>
      <c r="B1118" s="1" t="s">
        <v>160</v>
      </c>
      <c r="C1118" s="4">
        <v>15</v>
      </c>
      <c r="D1118" s="8">
        <v>1.36</v>
      </c>
      <c r="E1118" s="4">
        <v>4</v>
      </c>
      <c r="F1118" s="8">
        <v>0.71</v>
      </c>
      <c r="G1118" s="4">
        <v>11</v>
      </c>
      <c r="H1118" s="8">
        <v>2.06</v>
      </c>
      <c r="I1118" s="4">
        <v>0</v>
      </c>
    </row>
    <row r="1119" spans="1:9" x14ac:dyDescent="0.15">
      <c r="A1119" s="2">
        <v>20</v>
      </c>
      <c r="B1119" s="1" t="s">
        <v>189</v>
      </c>
      <c r="C1119" s="4">
        <v>15</v>
      </c>
      <c r="D1119" s="8">
        <v>1.36</v>
      </c>
      <c r="E1119" s="4">
        <v>6</v>
      </c>
      <c r="F1119" s="8">
        <v>1.06</v>
      </c>
      <c r="G1119" s="4">
        <v>9</v>
      </c>
      <c r="H1119" s="8">
        <v>1.69</v>
      </c>
      <c r="I1119" s="4">
        <v>0</v>
      </c>
    </row>
    <row r="1120" spans="1:9" x14ac:dyDescent="0.15">
      <c r="A1120" s="1"/>
      <c r="C1120" s="4"/>
      <c r="D1120" s="8"/>
      <c r="E1120" s="4"/>
      <c r="F1120" s="8"/>
      <c r="G1120" s="4"/>
      <c r="H1120" s="8"/>
      <c r="I1120" s="4"/>
    </row>
    <row r="1121" spans="1:9" x14ac:dyDescent="0.15">
      <c r="A1121" s="1" t="s">
        <v>50</v>
      </c>
      <c r="C1121" s="4"/>
      <c r="D1121" s="8"/>
      <c r="E1121" s="4"/>
      <c r="F1121" s="8"/>
      <c r="G1121" s="4"/>
      <c r="H1121" s="8"/>
      <c r="I1121" s="4"/>
    </row>
    <row r="1122" spans="1:9" x14ac:dyDescent="0.15">
      <c r="A1122" s="2">
        <v>1</v>
      </c>
      <c r="B1122" s="1" t="s">
        <v>148</v>
      </c>
      <c r="C1122" s="4">
        <v>106</v>
      </c>
      <c r="D1122" s="8">
        <v>13.89</v>
      </c>
      <c r="E1122" s="4">
        <v>98</v>
      </c>
      <c r="F1122" s="8">
        <v>19.559999999999999</v>
      </c>
      <c r="G1122" s="4">
        <v>8</v>
      </c>
      <c r="H1122" s="8">
        <v>3.08</v>
      </c>
      <c r="I1122" s="4">
        <v>0</v>
      </c>
    </row>
    <row r="1123" spans="1:9" x14ac:dyDescent="0.15">
      <c r="A1123" s="2">
        <v>2</v>
      </c>
      <c r="B1123" s="1" t="s">
        <v>173</v>
      </c>
      <c r="C1123" s="4">
        <v>71</v>
      </c>
      <c r="D1123" s="8">
        <v>9.31</v>
      </c>
      <c r="E1123" s="4">
        <v>69</v>
      </c>
      <c r="F1123" s="8">
        <v>13.77</v>
      </c>
      <c r="G1123" s="4">
        <v>2</v>
      </c>
      <c r="H1123" s="8">
        <v>0.77</v>
      </c>
      <c r="I1123" s="4">
        <v>0</v>
      </c>
    </row>
    <row r="1124" spans="1:9" x14ac:dyDescent="0.15">
      <c r="A1124" s="2">
        <v>3</v>
      </c>
      <c r="B1124" s="1" t="s">
        <v>156</v>
      </c>
      <c r="C1124" s="4">
        <v>36</v>
      </c>
      <c r="D1124" s="8">
        <v>4.72</v>
      </c>
      <c r="E1124" s="4">
        <v>31</v>
      </c>
      <c r="F1124" s="8">
        <v>6.19</v>
      </c>
      <c r="G1124" s="4">
        <v>4</v>
      </c>
      <c r="H1124" s="8">
        <v>1.54</v>
      </c>
      <c r="I1124" s="4">
        <v>1</v>
      </c>
    </row>
    <row r="1125" spans="1:9" x14ac:dyDescent="0.15">
      <c r="A1125" s="2">
        <v>4</v>
      </c>
      <c r="B1125" s="1" t="s">
        <v>155</v>
      </c>
      <c r="C1125" s="4">
        <v>27</v>
      </c>
      <c r="D1125" s="8">
        <v>3.54</v>
      </c>
      <c r="E1125" s="4">
        <v>20</v>
      </c>
      <c r="F1125" s="8">
        <v>3.99</v>
      </c>
      <c r="G1125" s="4">
        <v>7</v>
      </c>
      <c r="H1125" s="8">
        <v>2.69</v>
      </c>
      <c r="I1125" s="4">
        <v>0</v>
      </c>
    </row>
    <row r="1126" spans="1:9" x14ac:dyDescent="0.15">
      <c r="A1126" s="2">
        <v>5</v>
      </c>
      <c r="B1126" s="1" t="s">
        <v>150</v>
      </c>
      <c r="C1126" s="4">
        <v>23</v>
      </c>
      <c r="D1126" s="8">
        <v>3.01</v>
      </c>
      <c r="E1126" s="4">
        <v>19</v>
      </c>
      <c r="F1126" s="8">
        <v>3.79</v>
      </c>
      <c r="G1126" s="4">
        <v>4</v>
      </c>
      <c r="H1126" s="8">
        <v>1.54</v>
      </c>
      <c r="I1126" s="4">
        <v>0</v>
      </c>
    </row>
    <row r="1127" spans="1:9" x14ac:dyDescent="0.15">
      <c r="A1127" s="2">
        <v>6</v>
      </c>
      <c r="B1127" s="1" t="s">
        <v>154</v>
      </c>
      <c r="C1127" s="4">
        <v>17</v>
      </c>
      <c r="D1127" s="8">
        <v>2.23</v>
      </c>
      <c r="E1127" s="4">
        <v>14</v>
      </c>
      <c r="F1127" s="8">
        <v>2.79</v>
      </c>
      <c r="G1127" s="4">
        <v>3</v>
      </c>
      <c r="H1127" s="8">
        <v>1.1499999999999999</v>
      </c>
      <c r="I1127" s="4">
        <v>0</v>
      </c>
    </row>
    <row r="1128" spans="1:9" x14ac:dyDescent="0.15">
      <c r="A1128" s="2">
        <v>7</v>
      </c>
      <c r="B1128" s="1" t="s">
        <v>138</v>
      </c>
      <c r="C1128" s="4">
        <v>16</v>
      </c>
      <c r="D1128" s="8">
        <v>2.1</v>
      </c>
      <c r="E1128" s="4">
        <v>4</v>
      </c>
      <c r="F1128" s="8">
        <v>0.8</v>
      </c>
      <c r="G1128" s="4">
        <v>12</v>
      </c>
      <c r="H1128" s="8">
        <v>4.62</v>
      </c>
      <c r="I1128" s="4">
        <v>0</v>
      </c>
    </row>
    <row r="1129" spans="1:9" x14ac:dyDescent="0.15">
      <c r="A1129" s="2">
        <v>7</v>
      </c>
      <c r="B1129" s="1" t="s">
        <v>157</v>
      </c>
      <c r="C1129" s="4">
        <v>16</v>
      </c>
      <c r="D1129" s="8">
        <v>2.1</v>
      </c>
      <c r="E1129" s="4">
        <v>16</v>
      </c>
      <c r="F1129" s="8">
        <v>3.19</v>
      </c>
      <c r="G1129" s="4">
        <v>0</v>
      </c>
      <c r="H1129" s="8">
        <v>0</v>
      </c>
      <c r="I1129" s="4">
        <v>0</v>
      </c>
    </row>
    <row r="1130" spans="1:9" x14ac:dyDescent="0.15">
      <c r="A1130" s="2">
        <v>9</v>
      </c>
      <c r="B1130" s="1" t="s">
        <v>147</v>
      </c>
      <c r="C1130" s="4">
        <v>14</v>
      </c>
      <c r="D1130" s="8">
        <v>1.83</v>
      </c>
      <c r="E1130" s="4">
        <v>7</v>
      </c>
      <c r="F1130" s="8">
        <v>1.4</v>
      </c>
      <c r="G1130" s="4">
        <v>7</v>
      </c>
      <c r="H1130" s="8">
        <v>2.69</v>
      </c>
      <c r="I1130" s="4">
        <v>0</v>
      </c>
    </row>
    <row r="1131" spans="1:9" x14ac:dyDescent="0.15">
      <c r="A1131" s="2">
        <v>10</v>
      </c>
      <c r="B1131" s="1" t="s">
        <v>143</v>
      </c>
      <c r="C1131" s="4">
        <v>13</v>
      </c>
      <c r="D1131" s="8">
        <v>1.7</v>
      </c>
      <c r="E1131" s="4">
        <v>12</v>
      </c>
      <c r="F1131" s="8">
        <v>2.4</v>
      </c>
      <c r="G1131" s="4">
        <v>1</v>
      </c>
      <c r="H1131" s="8">
        <v>0.38</v>
      </c>
      <c r="I1131" s="4">
        <v>0</v>
      </c>
    </row>
    <row r="1132" spans="1:9" x14ac:dyDescent="0.15">
      <c r="A1132" s="2">
        <v>10</v>
      </c>
      <c r="B1132" s="1" t="s">
        <v>145</v>
      </c>
      <c r="C1132" s="4">
        <v>13</v>
      </c>
      <c r="D1132" s="8">
        <v>1.7</v>
      </c>
      <c r="E1132" s="4">
        <v>8</v>
      </c>
      <c r="F1132" s="8">
        <v>1.6</v>
      </c>
      <c r="G1132" s="4">
        <v>5</v>
      </c>
      <c r="H1132" s="8">
        <v>1.92</v>
      </c>
      <c r="I1132" s="4">
        <v>0</v>
      </c>
    </row>
    <row r="1133" spans="1:9" x14ac:dyDescent="0.15">
      <c r="A1133" s="2">
        <v>12</v>
      </c>
      <c r="B1133" s="1" t="s">
        <v>139</v>
      </c>
      <c r="C1133" s="4">
        <v>11</v>
      </c>
      <c r="D1133" s="8">
        <v>1.44</v>
      </c>
      <c r="E1133" s="4">
        <v>3</v>
      </c>
      <c r="F1133" s="8">
        <v>0.6</v>
      </c>
      <c r="G1133" s="4">
        <v>8</v>
      </c>
      <c r="H1133" s="8">
        <v>3.08</v>
      </c>
      <c r="I1133" s="4">
        <v>0</v>
      </c>
    </row>
    <row r="1134" spans="1:9" x14ac:dyDescent="0.15">
      <c r="A1134" s="2">
        <v>13</v>
      </c>
      <c r="B1134" s="1" t="s">
        <v>161</v>
      </c>
      <c r="C1134" s="4">
        <v>10</v>
      </c>
      <c r="D1134" s="8">
        <v>1.31</v>
      </c>
      <c r="E1134" s="4">
        <v>3</v>
      </c>
      <c r="F1134" s="8">
        <v>0.6</v>
      </c>
      <c r="G1134" s="4">
        <v>7</v>
      </c>
      <c r="H1134" s="8">
        <v>2.69</v>
      </c>
      <c r="I1134" s="4">
        <v>0</v>
      </c>
    </row>
    <row r="1135" spans="1:9" x14ac:dyDescent="0.15">
      <c r="A1135" s="2">
        <v>13</v>
      </c>
      <c r="B1135" s="1" t="s">
        <v>149</v>
      </c>
      <c r="C1135" s="4">
        <v>10</v>
      </c>
      <c r="D1135" s="8">
        <v>1.31</v>
      </c>
      <c r="E1135" s="4">
        <v>0</v>
      </c>
      <c r="F1135" s="8">
        <v>0</v>
      </c>
      <c r="G1135" s="4">
        <v>10</v>
      </c>
      <c r="H1135" s="8">
        <v>3.85</v>
      </c>
      <c r="I1135" s="4">
        <v>0</v>
      </c>
    </row>
    <row r="1136" spans="1:9" x14ac:dyDescent="0.15">
      <c r="A1136" s="2">
        <v>13</v>
      </c>
      <c r="B1136" s="1" t="s">
        <v>170</v>
      </c>
      <c r="C1136" s="4">
        <v>10</v>
      </c>
      <c r="D1136" s="8">
        <v>1.31</v>
      </c>
      <c r="E1136" s="4">
        <v>10</v>
      </c>
      <c r="F1136" s="8">
        <v>2</v>
      </c>
      <c r="G1136" s="4">
        <v>0</v>
      </c>
      <c r="H1136" s="8">
        <v>0</v>
      </c>
      <c r="I1136" s="4">
        <v>0</v>
      </c>
    </row>
    <row r="1137" spans="1:9" x14ac:dyDescent="0.15">
      <c r="A1137" s="2">
        <v>13</v>
      </c>
      <c r="B1137" s="1" t="s">
        <v>163</v>
      </c>
      <c r="C1137" s="4">
        <v>10</v>
      </c>
      <c r="D1137" s="8">
        <v>1.31</v>
      </c>
      <c r="E1137" s="4">
        <v>10</v>
      </c>
      <c r="F1137" s="8">
        <v>2</v>
      </c>
      <c r="G1137" s="4">
        <v>0</v>
      </c>
      <c r="H1137" s="8">
        <v>0</v>
      </c>
      <c r="I1137" s="4">
        <v>0</v>
      </c>
    </row>
    <row r="1138" spans="1:9" x14ac:dyDescent="0.15">
      <c r="A1138" s="2">
        <v>17</v>
      </c>
      <c r="B1138" s="1" t="s">
        <v>174</v>
      </c>
      <c r="C1138" s="4">
        <v>9</v>
      </c>
      <c r="D1138" s="8">
        <v>1.18</v>
      </c>
      <c r="E1138" s="4">
        <v>3</v>
      </c>
      <c r="F1138" s="8">
        <v>0.6</v>
      </c>
      <c r="G1138" s="4">
        <v>6</v>
      </c>
      <c r="H1138" s="8">
        <v>2.31</v>
      </c>
      <c r="I1138" s="4">
        <v>0</v>
      </c>
    </row>
    <row r="1139" spans="1:9" x14ac:dyDescent="0.15">
      <c r="A1139" s="2">
        <v>17</v>
      </c>
      <c r="B1139" s="1" t="s">
        <v>141</v>
      </c>
      <c r="C1139" s="4">
        <v>9</v>
      </c>
      <c r="D1139" s="8">
        <v>1.18</v>
      </c>
      <c r="E1139" s="4">
        <v>0</v>
      </c>
      <c r="F1139" s="8">
        <v>0</v>
      </c>
      <c r="G1139" s="4">
        <v>9</v>
      </c>
      <c r="H1139" s="8">
        <v>3.46</v>
      </c>
      <c r="I1139" s="4">
        <v>0</v>
      </c>
    </row>
    <row r="1140" spans="1:9" x14ac:dyDescent="0.15">
      <c r="A1140" s="2">
        <v>17</v>
      </c>
      <c r="B1140" s="1" t="s">
        <v>144</v>
      </c>
      <c r="C1140" s="4">
        <v>9</v>
      </c>
      <c r="D1140" s="8">
        <v>1.18</v>
      </c>
      <c r="E1140" s="4">
        <v>4</v>
      </c>
      <c r="F1140" s="8">
        <v>0.8</v>
      </c>
      <c r="G1140" s="4">
        <v>5</v>
      </c>
      <c r="H1140" s="8">
        <v>1.92</v>
      </c>
      <c r="I1140" s="4">
        <v>0</v>
      </c>
    </row>
    <row r="1141" spans="1:9" x14ac:dyDescent="0.15">
      <c r="A1141" s="2">
        <v>17</v>
      </c>
      <c r="B1141" s="1" t="s">
        <v>146</v>
      </c>
      <c r="C1141" s="4">
        <v>9</v>
      </c>
      <c r="D1141" s="8">
        <v>1.18</v>
      </c>
      <c r="E1141" s="4">
        <v>2</v>
      </c>
      <c r="F1141" s="8">
        <v>0.4</v>
      </c>
      <c r="G1141" s="4">
        <v>7</v>
      </c>
      <c r="H1141" s="8">
        <v>2.69</v>
      </c>
      <c r="I1141" s="4">
        <v>0</v>
      </c>
    </row>
    <row r="1142" spans="1:9" x14ac:dyDescent="0.15">
      <c r="A1142" s="1"/>
      <c r="C1142" s="4"/>
      <c r="D1142" s="8"/>
      <c r="E1142" s="4"/>
      <c r="F1142" s="8"/>
      <c r="G1142" s="4"/>
      <c r="H1142" s="8"/>
      <c r="I1142" s="4"/>
    </row>
    <row r="1143" spans="1:9" x14ac:dyDescent="0.15">
      <c r="A1143" s="1" t="s">
        <v>51</v>
      </c>
      <c r="C1143" s="4"/>
      <c r="D1143" s="8"/>
      <c r="E1143" s="4"/>
      <c r="F1143" s="8"/>
      <c r="G1143" s="4"/>
      <c r="H1143" s="8"/>
      <c r="I1143" s="4"/>
    </row>
    <row r="1144" spans="1:9" x14ac:dyDescent="0.15">
      <c r="A1144" s="2">
        <v>1</v>
      </c>
      <c r="B1144" s="1" t="s">
        <v>148</v>
      </c>
      <c r="C1144" s="4">
        <v>75</v>
      </c>
      <c r="D1144" s="8">
        <v>12.25</v>
      </c>
      <c r="E1144" s="4">
        <v>69</v>
      </c>
      <c r="F1144" s="8">
        <v>18.350000000000001</v>
      </c>
      <c r="G1144" s="4">
        <v>6</v>
      </c>
      <c r="H1144" s="8">
        <v>2.5499999999999998</v>
      </c>
      <c r="I1144" s="4">
        <v>0</v>
      </c>
    </row>
    <row r="1145" spans="1:9" x14ac:dyDescent="0.15">
      <c r="A1145" s="2">
        <v>2</v>
      </c>
      <c r="B1145" s="1" t="s">
        <v>155</v>
      </c>
      <c r="C1145" s="4">
        <v>30</v>
      </c>
      <c r="D1145" s="8">
        <v>4.9000000000000004</v>
      </c>
      <c r="E1145" s="4">
        <v>24</v>
      </c>
      <c r="F1145" s="8">
        <v>6.38</v>
      </c>
      <c r="G1145" s="4">
        <v>6</v>
      </c>
      <c r="H1145" s="8">
        <v>2.5499999999999998</v>
      </c>
      <c r="I1145" s="4">
        <v>0</v>
      </c>
    </row>
    <row r="1146" spans="1:9" x14ac:dyDescent="0.15">
      <c r="A1146" s="2">
        <v>3</v>
      </c>
      <c r="B1146" s="1" t="s">
        <v>156</v>
      </c>
      <c r="C1146" s="4">
        <v>26</v>
      </c>
      <c r="D1146" s="8">
        <v>4.25</v>
      </c>
      <c r="E1146" s="4">
        <v>23</v>
      </c>
      <c r="F1146" s="8">
        <v>6.12</v>
      </c>
      <c r="G1146" s="4">
        <v>3</v>
      </c>
      <c r="H1146" s="8">
        <v>1.28</v>
      </c>
      <c r="I1146" s="4">
        <v>0</v>
      </c>
    </row>
    <row r="1147" spans="1:9" x14ac:dyDescent="0.15">
      <c r="A1147" s="2">
        <v>4</v>
      </c>
      <c r="B1147" s="1" t="s">
        <v>173</v>
      </c>
      <c r="C1147" s="4">
        <v>25</v>
      </c>
      <c r="D1147" s="8">
        <v>4.08</v>
      </c>
      <c r="E1147" s="4">
        <v>25</v>
      </c>
      <c r="F1147" s="8">
        <v>6.65</v>
      </c>
      <c r="G1147" s="4">
        <v>0</v>
      </c>
      <c r="H1147" s="8">
        <v>0</v>
      </c>
      <c r="I1147" s="4">
        <v>0</v>
      </c>
    </row>
    <row r="1148" spans="1:9" x14ac:dyDescent="0.15">
      <c r="A1148" s="2">
        <v>5</v>
      </c>
      <c r="B1148" s="1" t="s">
        <v>145</v>
      </c>
      <c r="C1148" s="4">
        <v>19</v>
      </c>
      <c r="D1148" s="8">
        <v>3.1</v>
      </c>
      <c r="E1148" s="4">
        <v>10</v>
      </c>
      <c r="F1148" s="8">
        <v>2.66</v>
      </c>
      <c r="G1148" s="4">
        <v>9</v>
      </c>
      <c r="H1148" s="8">
        <v>3.83</v>
      </c>
      <c r="I1148" s="4">
        <v>0</v>
      </c>
    </row>
    <row r="1149" spans="1:9" x14ac:dyDescent="0.15">
      <c r="A1149" s="2">
        <v>6</v>
      </c>
      <c r="B1149" s="1" t="s">
        <v>147</v>
      </c>
      <c r="C1149" s="4">
        <v>18</v>
      </c>
      <c r="D1149" s="8">
        <v>2.94</v>
      </c>
      <c r="E1149" s="4">
        <v>7</v>
      </c>
      <c r="F1149" s="8">
        <v>1.86</v>
      </c>
      <c r="G1149" s="4">
        <v>11</v>
      </c>
      <c r="H1149" s="8">
        <v>4.68</v>
      </c>
      <c r="I1149" s="4">
        <v>0</v>
      </c>
    </row>
    <row r="1150" spans="1:9" x14ac:dyDescent="0.15">
      <c r="A1150" s="2">
        <v>6</v>
      </c>
      <c r="B1150" s="1" t="s">
        <v>152</v>
      </c>
      <c r="C1150" s="4">
        <v>18</v>
      </c>
      <c r="D1150" s="8">
        <v>2.94</v>
      </c>
      <c r="E1150" s="4">
        <v>18</v>
      </c>
      <c r="F1150" s="8">
        <v>4.79</v>
      </c>
      <c r="G1150" s="4">
        <v>0</v>
      </c>
      <c r="H1150" s="8">
        <v>0</v>
      </c>
      <c r="I1150" s="4">
        <v>0</v>
      </c>
    </row>
    <row r="1151" spans="1:9" x14ac:dyDescent="0.15">
      <c r="A1151" s="2">
        <v>6</v>
      </c>
      <c r="B1151" s="1" t="s">
        <v>154</v>
      </c>
      <c r="C1151" s="4">
        <v>18</v>
      </c>
      <c r="D1151" s="8">
        <v>2.94</v>
      </c>
      <c r="E1151" s="4">
        <v>16</v>
      </c>
      <c r="F1151" s="8">
        <v>4.26</v>
      </c>
      <c r="G1151" s="4">
        <v>2</v>
      </c>
      <c r="H1151" s="8">
        <v>0.85</v>
      </c>
      <c r="I1151" s="4">
        <v>0</v>
      </c>
    </row>
    <row r="1152" spans="1:9" x14ac:dyDescent="0.15">
      <c r="A1152" s="2">
        <v>6</v>
      </c>
      <c r="B1152" s="1" t="s">
        <v>157</v>
      </c>
      <c r="C1152" s="4">
        <v>18</v>
      </c>
      <c r="D1152" s="8">
        <v>2.94</v>
      </c>
      <c r="E1152" s="4">
        <v>17</v>
      </c>
      <c r="F1152" s="8">
        <v>4.5199999999999996</v>
      </c>
      <c r="G1152" s="4">
        <v>1</v>
      </c>
      <c r="H1152" s="8">
        <v>0.43</v>
      </c>
      <c r="I1152" s="4">
        <v>0</v>
      </c>
    </row>
    <row r="1153" spans="1:9" x14ac:dyDescent="0.15">
      <c r="A1153" s="2">
        <v>10</v>
      </c>
      <c r="B1153" s="1" t="s">
        <v>166</v>
      </c>
      <c r="C1153" s="4">
        <v>15</v>
      </c>
      <c r="D1153" s="8">
        <v>2.4500000000000002</v>
      </c>
      <c r="E1153" s="4">
        <v>10</v>
      </c>
      <c r="F1153" s="8">
        <v>2.66</v>
      </c>
      <c r="G1153" s="4">
        <v>5</v>
      </c>
      <c r="H1153" s="8">
        <v>2.13</v>
      </c>
      <c r="I1153" s="4">
        <v>0</v>
      </c>
    </row>
    <row r="1154" spans="1:9" x14ac:dyDescent="0.15">
      <c r="A1154" s="2">
        <v>11</v>
      </c>
      <c r="B1154" s="1" t="s">
        <v>150</v>
      </c>
      <c r="C1154" s="4">
        <v>13</v>
      </c>
      <c r="D1154" s="8">
        <v>2.12</v>
      </c>
      <c r="E1154" s="4">
        <v>10</v>
      </c>
      <c r="F1154" s="8">
        <v>2.66</v>
      </c>
      <c r="G1154" s="4">
        <v>3</v>
      </c>
      <c r="H1154" s="8">
        <v>1.28</v>
      </c>
      <c r="I1154" s="4">
        <v>0</v>
      </c>
    </row>
    <row r="1155" spans="1:9" x14ac:dyDescent="0.15">
      <c r="A1155" s="2">
        <v>12</v>
      </c>
      <c r="B1155" s="1" t="s">
        <v>174</v>
      </c>
      <c r="C1155" s="4">
        <v>12</v>
      </c>
      <c r="D1155" s="8">
        <v>1.96</v>
      </c>
      <c r="E1155" s="4">
        <v>5</v>
      </c>
      <c r="F1155" s="8">
        <v>1.33</v>
      </c>
      <c r="G1155" s="4">
        <v>7</v>
      </c>
      <c r="H1155" s="8">
        <v>2.98</v>
      </c>
      <c r="I1155" s="4">
        <v>0</v>
      </c>
    </row>
    <row r="1156" spans="1:9" x14ac:dyDescent="0.15">
      <c r="A1156" s="2">
        <v>12</v>
      </c>
      <c r="B1156" s="1" t="s">
        <v>153</v>
      </c>
      <c r="C1156" s="4">
        <v>12</v>
      </c>
      <c r="D1156" s="8">
        <v>1.96</v>
      </c>
      <c r="E1156" s="4">
        <v>8</v>
      </c>
      <c r="F1156" s="8">
        <v>2.13</v>
      </c>
      <c r="G1156" s="4">
        <v>4</v>
      </c>
      <c r="H1156" s="8">
        <v>1.7</v>
      </c>
      <c r="I1156" s="4">
        <v>0</v>
      </c>
    </row>
    <row r="1157" spans="1:9" x14ac:dyDescent="0.15">
      <c r="A1157" s="2">
        <v>14</v>
      </c>
      <c r="B1157" s="1" t="s">
        <v>175</v>
      </c>
      <c r="C1157" s="4">
        <v>11</v>
      </c>
      <c r="D1157" s="8">
        <v>1.8</v>
      </c>
      <c r="E1157" s="4">
        <v>8</v>
      </c>
      <c r="F1157" s="8">
        <v>2.13</v>
      </c>
      <c r="G1157" s="4">
        <v>3</v>
      </c>
      <c r="H1157" s="8">
        <v>1.28</v>
      </c>
      <c r="I1157" s="4">
        <v>0</v>
      </c>
    </row>
    <row r="1158" spans="1:9" x14ac:dyDescent="0.15">
      <c r="A1158" s="2">
        <v>15</v>
      </c>
      <c r="B1158" s="1" t="s">
        <v>142</v>
      </c>
      <c r="C1158" s="4">
        <v>10</v>
      </c>
      <c r="D1158" s="8">
        <v>1.63</v>
      </c>
      <c r="E1158" s="4">
        <v>8</v>
      </c>
      <c r="F1158" s="8">
        <v>2.13</v>
      </c>
      <c r="G1158" s="4">
        <v>2</v>
      </c>
      <c r="H1158" s="8">
        <v>0.85</v>
      </c>
      <c r="I1158" s="4">
        <v>0</v>
      </c>
    </row>
    <row r="1159" spans="1:9" x14ac:dyDescent="0.15">
      <c r="A1159" s="2">
        <v>15</v>
      </c>
      <c r="B1159" s="1" t="s">
        <v>161</v>
      </c>
      <c r="C1159" s="4">
        <v>10</v>
      </c>
      <c r="D1159" s="8">
        <v>1.63</v>
      </c>
      <c r="E1159" s="4">
        <v>4</v>
      </c>
      <c r="F1159" s="8">
        <v>1.06</v>
      </c>
      <c r="G1159" s="4">
        <v>6</v>
      </c>
      <c r="H1159" s="8">
        <v>2.5499999999999998</v>
      </c>
      <c r="I1159" s="4">
        <v>0</v>
      </c>
    </row>
    <row r="1160" spans="1:9" x14ac:dyDescent="0.15">
      <c r="A1160" s="2">
        <v>17</v>
      </c>
      <c r="B1160" s="1" t="s">
        <v>143</v>
      </c>
      <c r="C1160" s="4">
        <v>8</v>
      </c>
      <c r="D1160" s="8">
        <v>1.31</v>
      </c>
      <c r="E1160" s="4">
        <v>5</v>
      </c>
      <c r="F1160" s="8">
        <v>1.33</v>
      </c>
      <c r="G1160" s="4">
        <v>3</v>
      </c>
      <c r="H1160" s="8">
        <v>1.28</v>
      </c>
      <c r="I1160" s="4">
        <v>0</v>
      </c>
    </row>
    <row r="1161" spans="1:9" x14ac:dyDescent="0.15">
      <c r="A1161" s="2">
        <v>17</v>
      </c>
      <c r="B1161" s="1" t="s">
        <v>151</v>
      </c>
      <c r="C1161" s="4">
        <v>8</v>
      </c>
      <c r="D1161" s="8">
        <v>1.31</v>
      </c>
      <c r="E1161" s="4">
        <v>6</v>
      </c>
      <c r="F1161" s="8">
        <v>1.6</v>
      </c>
      <c r="G1161" s="4">
        <v>2</v>
      </c>
      <c r="H1161" s="8">
        <v>0.85</v>
      </c>
      <c r="I1161" s="4">
        <v>0</v>
      </c>
    </row>
    <row r="1162" spans="1:9" x14ac:dyDescent="0.15">
      <c r="A1162" s="2">
        <v>19</v>
      </c>
      <c r="B1162" s="1" t="s">
        <v>194</v>
      </c>
      <c r="C1162" s="4">
        <v>7</v>
      </c>
      <c r="D1162" s="8">
        <v>1.1399999999999999</v>
      </c>
      <c r="E1162" s="4">
        <v>7</v>
      </c>
      <c r="F1162" s="8">
        <v>1.86</v>
      </c>
      <c r="G1162" s="4">
        <v>0</v>
      </c>
      <c r="H1162" s="8">
        <v>0</v>
      </c>
      <c r="I1162" s="4">
        <v>0</v>
      </c>
    </row>
    <row r="1163" spans="1:9" x14ac:dyDescent="0.15">
      <c r="A1163" s="2">
        <v>19</v>
      </c>
      <c r="B1163" s="1" t="s">
        <v>195</v>
      </c>
      <c r="C1163" s="4">
        <v>7</v>
      </c>
      <c r="D1163" s="8">
        <v>1.1399999999999999</v>
      </c>
      <c r="E1163" s="4">
        <v>6</v>
      </c>
      <c r="F1163" s="8">
        <v>1.6</v>
      </c>
      <c r="G1163" s="4">
        <v>1</v>
      </c>
      <c r="H1163" s="8">
        <v>0.43</v>
      </c>
      <c r="I1163" s="4">
        <v>0</v>
      </c>
    </row>
    <row r="1164" spans="1:9" x14ac:dyDescent="0.15">
      <c r="A1164" s="2">
        <v>19</v>
      </c>
      <c r="B1164" s="1" t="s">
        <v>144</v>
      </c>
      <c r="C1164" s="4">
        <v>7</v>
      </c>
      <c r="D1164" s="8">
        <v>1.1399999999999999</v>
      </c>
      <c r="E1164" s="4">
        <v>3</v>
      </c>
      <c r="F1164" s="8">
        <v>0.8</v>
      </c>
      <c r="G1164" s="4">
        <v>4</v>
      </c>
      <c r="H1164" s="8">
        <v>1.7</v>
      </c>
      <c r="I1164" s="4">
        <v>0</v>
      </c>
    </row>
    <row r="1165" spans="1:9" x14ac:dyDescent="0.15">
      <c r="A1165" s="2">
        <v>19</v>
      </c>
      <c r="B1165" s="1" t="s">
        <v>196</v>
      </c>
      <c r="C1165" s="4">
        <v>7</v>
      </c>
      <c r="D1165" s="8">
        <v>1.1399999999999999</v>
      </c>
      <c r="E1165" s="4">
        <v>3</v>
      </c>
      <c r="F1165" s="8">
        <v>0.8</v>
      </c>
      <c r="G1165" s="4">
        <v>4</v>
      </c>
      <c r="H1165" s="8">
        <v>1.7</v>
      </c>
      <c r="I1165" s="4">
        <v>0</v>
      </c>
    </row>
    <row r="1166" spans="1:9" x14ac:dyDescent="0.15">
      <c r="A1166" s="2">
        <v>19</v>
      </c>
      <c r="B1166" s="1" t="s">
        <v>163</v>
      </c>
      <c r="C1166" s="4">
        <v>7</v>
      </c>
      <c r="D1166" s="8">
        <v>1.1399999999999999</v>
      </c>
      <c r="E1166" s="4">
        <v>7</v>
      </c>
      <c r="F1166" s="8">
        <v>1.86</v>
      </c>
      <c r="G1166" s="4">
        <v>0</v>
      </c>
      <c r="H1166" s="8">
        <v>0</v>
      </c>
      <c r="I1166" s="4">
        <v>0</v>
      </c>
    </row>
    <row r="1167" spans="1:9" x14ac:dyDescent="0.15">
      <c r="A1167" s="1"/>
      <c r="C1167" s="4"/>
      <c r="D1167" s="8"/>
      <c r="E1167" s="4"/>
      <c r="F1167" s="8"/>
      <c r="G1167" s="4"/>
      <c r="H1167" s="8"/>
      <c r="I1167" s="4"/>
    </row>
    <row r="1168" spans="1:9" x14ac:dyDescent="0.15">
      <c r="A1168" s="1" t="s">
        <v>52</v>
      </c>
      <c r="C1168" s="4"/>
      <c r="D1168" s="8"/>
      <c r="E1168" s="4"/>
      <c r="F1168" s="8"/>
      <c r="G1168" s="4"/>
      <c r="H1168" s="8"/>
      <c r="I1168" s="4"/>
    </row>
    <row r="1169" spans="1:9" x14ac:dyDescent="0.15">
      <c r="A1169" s="2">
        <v>1</v>
      </c>
      <c r="B1169" s="1" t="s">
        <v>174</v>
      </c>
      <c r="C1169" s="4">
        <v>10</v>
      </c>
      <c r="D1169" s="8">
        <v>3.95</v>
      </c>
      <c r="E1169" s="4">
        <v>6</v>
      </c>
      <c r="F1169" s="8">
        <v>6.06</v>
      </c>
      <c r="G1169" s="4">
        <v>4</v>
      </c>
      <c r="H1169" s="8">
        <v>2.6</v>
      </c>
      <c r="I1169" s="4">
        <v>0</v>
      </c>
    </row>
    <row r="1170" spans="1:9" x14ac:dyDescent="0.15">
      <c r="A1170" s="2">
        <v>1</v>
      </c>
      <c r="B1170" s="1" t="s">
        <v>144</v>
      </c>
      <c r="C1170" s="4">
        <v>10</v>
      </c>
      <c r="D1170" s="8">
        <v>3.95</v>
      </c>
      <c r="E1170" s="4">
        <v>3</v>
      </c>
      <c r="F1170" s="8">
        <v>3.03</v>
      </c>
      <c r="G1170" s="4">
        <v>7</v>
      </c>
      <c r="H1170" s="8">
        <v>4.55</v>
      </c>
      <c r="I1170" s="4">
        <v>0</v>
      </c>
    </row>
    <row r="1171" spans="1:9" x14ac:dyDescent="0.15">
      <c r="A1171" s="2">
        <v>1</v>
      </c>
      <c r="B1171" s="1" t="s">
        <v>155</v>
      </c>
      <c r="C1171" s="4">
        <v>10</v>
      </c>
      <c r="D1171" s="8">
        <v>3.95</v>
      </c>
      <c r="E1171" s="4">
        <v>10</v>
      </c>
      <c r="F1171" s="8">
        <v>10.1</v>
      </c>
      <c r="G1171" s="4">
        <v>0</v>
      </c>
      <c r="H1171" s="8">
        <v>0</v>
      </c>
      <c r="I1171" s="4">
        <v>0</v>
      </c>
    </row>
    <row r="1172" spans="1:9" x14ac:dyDescent="0.15">
      <c r="A1172" s="2">
        <v>4</v>
      </c>
      <c r="B1172" s="1" t="s">
        <v>138</v>
      </c>
      <c r="C1172" s="4">
        <v>9</v>
      </c>
      <c r="D1172" s="8">
        <v>3.56</v>
      </c>
      <c r="E1172" s="4">
        <v>0</v>
      </c>
      <c r="F1172" s="8">
        <v>0</v>
      </c>
      <c r="G1172" s="4">
        <v>9</v>
      </c>
      <c r="H1172" s="8">
        <v>5.84</v>
      </c>
      <c r="I1172" s="4">
        <v>0</v>
      </c>
    </row>
    <row r="1173" spans="1:9" x14ac:dyDescent="0.15">
      <c r="A1173" s="2">
        <v>4</v>
      </c>
      <c r="B1173" s="1" t="s">
        <v>139</v>
      </c>
      <c r="C1173" s="4">
        <v>9</v>
      </c>
      <c r="D1173" s="8">
        <v>3.56</v>
      </c>
      <c r="E1173" s="4">
        <v>0</v>
      </c>
      <c r="F1173" s="8">
        <v>0</v>
      </c>
      <c r="G1173" s="4">
        <v>9</v>
      </c>
      <c r="H1173" s="8">
        <v>5.84</v>
      </c>
      <c r="I1173" s="4">
        <v>0</v>
      </c>
    </row>
    <row r="1174" spans="1:9" x14ac:dyDescent="0.15">
      <c r="A1174" s="2">
        <v>4</v>
      </c>
      <c r="B1174" s="1" t="s">
        <v>148</v>
      </c>
      <c r="C1174" s="4">
        <v>9</v>
      </c>
      <c r="D1174" s="8">
        <v>3.56</v>
      </c>
      <c r="E1174" s="4">
        <v>6</v>
      </c>
      <c r="F1174" s="8">
        <v>6.06</v>
      </c>
      <c r="G1174" s="4">
        <v>3</v>
      </c>
      <c r="H1174" s="8">
        <v>1.95</v>
      </c>
      <c r="I1174" s="4">
        <v>0</v>
      </c>
    </row>
    <row r="1175" spans="1:9" x14ac:dyDescent="0.15">
      <c r="A1175" s="2">
        <v>7</v>
      </c>
      <c r="B1175" s="1" t="s">
        <v>160</v>
      </c>
      <c r="C1175" s="4">
        <v>8</v>
      </c>
      <c r="D1175" s="8">
        <v>3.16</v>
      </c>
      <c r="E1175" s="4">
        <v>2</v>
      </c>
      <c r="F1175" s="8">
        <v>2.02</v>
      </c>
      <c r="G1175" s="4">
        <v>6</v>
      </c>
      <c r="H1175" s="8">
        <v>3.9</v>
      </c>
      <c r="I1175" s="4">
        <v>0</v>
      </c>
    </row>
    <row r="1176" spans="1:9" x14ac:dyDescent="0.15">
      <c r="A1176" s="2">
        <v>8</v>
      </c>
      <c r="B1176" s="1" t="s">
        <v>181</v>
      </c>
      <c r="C1176" s="4">
        <v>7</v>
      </c>
      <c r="D1176" s="8">
        <v>2.77</v>
      </c>
      <c r="E1176" s="4">
        <v>2</v>
      </c>
      <c r="F1176" s="8">
        <v>2.02</v>
      </c>
      <c r="G1176" s="4">
        <v>5</v>
      </c>
      <c r="H1176" s="8">
        <v>3.25</v>
      </c>
      <c r="I1176" s="4">
        <v>0</v>
      </c>
    </row>
    <row r="1177" spans="1:9" x14ac:dyDescent="0.15">
      <c r="A1177" s="2">
        <v>9</v>
      </c>
      <c r="B1177" s="1" t="s">
        <v>191</v>
      </c>
      <c r="C1177" s="4">
        <v>6</v>
      </c>
      <c r="D1177" s="8">
        <v>2.37</v>
      </c>
      <c r="E1177" s="4">
        <v>3</v>
      </c>
      <c r="F1177" s="8">
        <v>3.03</v>
      </c>
      <c r="G1177" s="4">
        <v>3</v>
      </c>
      <c r="H1177" s="8">
        <v>1.95</v>
      </c>
      <c r="I1177" s="4">
        <v>0</v>
      </c>
    </row>
    <row r="1178" spans="1:9" x14ac:dyDescent="0.15">
      <c r="A1178" s="2">
        <v>9</v>
      </c>
      <c r="B1178" s="1" t="s">
        <v>140</v>
      </c>
      <c r="C1178" s="4">
        <v>6</v>
      </c>
      <c r="D1178" s="8">
        <v>2.37</v>
      </c>
      <c r="E1178" s="4">
        <v>2</v>
      </c>
      <c r="F1178" s="8">
        <v>2.02</v>
      </c>
      <c r="G1178" s="4">
        <v>4</v>
      </c>
      <c r="H1178" s="8">
        <v>2.6</v>
      </c>
      <c r="I1178" s="4">
        <v>0</v>
      </c>
    </row>
    <row r="1179" spans="1:9" x14ac:dyDescent="0.15">
      <c r="A1179" s="2">
        <v>9</v>
      </c>
      <c r="B1179" s="1" t="s">
        <v>176</v>
      </c>
      <c r="C1179" s="4">
        <v>6</v>
      </c>
      <c r="D1179" s="8">
        <v>2.37</v>
      </c>
      <c r="E1179" s="4">
        <v>1</v>
      </c>
      <c r="F1179" s="8">
        <v>1.01</v>
      </c>
      <c r="G1179" s="4">
        <v>5</v>
      </c>
      <c r="H1179" s="8">
        <v>3.25</v>
      </c>
      <c r="I1179" s="4">
        <v>0</v>
      </c>
    </row>
    <row r="1180" spans="1:9" x14ac:dyDescent="0.15">
      <c r="A1180" s="2">
        <v>9</v>
      </c>
      <c r="B1180" s="1" t="s">
        <v>143</v>
      </c>
      <c r="C1180" s="4">
        <v>6</v>
      </c>
      <c r="D1180" s="8">
        <v>2.37</v>
      </c>
      <c r="E1180" s="4">
        <v>5</v>
      </c>
      <c r="F1180" s="8">
        <v>5.05</v>
      </c>
      <c r="G1180" s="4">
        <v>1</v>
      </c>
      <c r="H1180" s="8">
        <v>0.65</v>
      </c>
      <c r="I1180" s="4">
        <v>0</v>
      </c>
    </row>
    <row r="1181" spans="1:9" x14ac:dyDescent="0.15">
      <c r="A1181" s="2">
        <v>9</v>
      </c>
      <c r="B1181" s="1" t="s">
        <v>147</v>
      </c>
      <c r="C1181" s="4">
        <v>6</v>
      </c>
      <c r="D1181" s="8">
        <v>2.37</v>
      </c>
      <c r="E1181" s="4">
        <v>3</v>
      </c>
      <c r="F1181" s="8">
        <v>3.03</v>
      </c>
      <c r="G1181" s="4">
        <v>3</v>
      </c>
      <c r="H1181" s="8">
        <v>1.95</v>
      </c>
      <c r="I1181" s="4">
        <v>0</v>
      </c>
    </row>
    <row r="1182" spans="1:9" x14ac:dyDescent="0.15">
      <c r="A1182" s="2">
        <v>9</v>
      </c>
      <c r="B1182" s="1" t="s">
        <v>154</v>
      </c>
      <c r="C1182" s="4">
        <v>6</v>
      </c>
      <c r="D1182" s="8">
        <v>2.37</v>
      </c>
      <c r="E1182" s="4">
        <v>6</v>
      </c>
      <c r="F1182" s="8">
        <v>6.06</v>
      </c>
      <c r="G1182" s="4">
        <v>0</v>
      </c>
      <c r="H1182" s="8">
        <v>0</v>
      </c>
      <c r="I1182" s="4">
        <v>0</v>
      </c>
    </row>
    <row r="1183" spans="1:9" x14ac:dyDescent="0.15">
      <c r="A1183" s="2">
        <v>15</v>
      </c>
      <c r="B1183" s="1" t="s">
        <v>177</v>
      </c>
      <c r="C1183" s="4">
        <v>5</v>
      </c>
      <c r="D1183" s="8">
        <v>1.98</v>
      </c>
      <c r="E1183" s="4">
        <v>1</v>
      </c>
      <c r="F1183" s="8">
        <v>1.01</v>
      </c>
      <c r="G1183" s="4">
        <v>4</v>
      </c>
      <c r="H1183" s="8">
        <v>2.6</v>
      </c>
      <c r="I1183" s="4">
        <v>0</v>
      </c>
    </row>
    <row r="1184" spans="1:9" x14ac:dyDescent="0.15">
      <c r="A1184" s="2">
        <v>15</v>
      </c>
      <c r="B1184" s="1" t="s">
        <v>193</v>
      </c>
      <c r="C1184" s="4">
        <v>5</v>
      </c>
      <c r="D1184" s="8">
        <v>1.98</v>
      </c>
      <c r="E1184" s="4">
        <v>1</v>
      </c>
      <c r="F1184" s="8">
        <v>1.01</v>
      </c>
      <c r="G1184" s="4">
        <v>4</v>
      </c>
      <c r="H1184" s="8">
        <v>2.6</v>
      </c>
      <c r="I1184" s="4">
        <v>0</v>
      </c>
    </row>
    <row r="1185" spans="1:9" x14ac:dyDescent="0.15">
      <c r="A1185" s="2">
        <v>15</v>
      </c>
      <c r="B1185" s="1" t="s">
        <v>196</v>
      </c>
      <c r="C1185" s="4">
        <v>5</v>
      </c>
      <c r="D1185" s="8">
        <v>1.98</v>
      </c>
      <c r="E1185" s="4">
        <v>1</v>
      </c>
      <c r="F1185" s="8">
        <v>1.01</v>
      </c>
      <c r="G1185" s="4">
        <v>4</v>
      </c>
      <c r="H1185" s="8">
        <v>2.6</v>
      </c>
      <c r="I1185" s="4">
        <v>0</v>
      </c>
    </row>
    <row r="1186" spans="1:9" x14ac:dyDescent="0.15">
      <c r="A1186" s="2">
        <v>15</v>
      </c>
      <c r="B1186" s="1" t="s">
        <v>173</v>
      </c>
      <c r="C1186" s="4">
        <v>5</v>
      </c>
      <c r="D1186" s="8">
        <v>1.98</v>
      </c>
      <c r="E1186" s="4">
        <v>4</v>
      </c>
      <c r="F1186" s="8">
        <v>4.04</v>
      </c>
      <c r="G1186" s="4">
        <v>1</v>
      </c>
      <c r="H1186" s="8">
        <v>0.65</v>
      </c>
      <c r="I1186" s="4">
        <v>0</v>
      </c>
    </row>
    <row r="1187" spans="1:9" x14ac:dyDescent="0.15">
      <c r="A1187" s="2">
        <v>19</v>
      </c>
      <c r="B1187" s="1" t="s">
        <v>178</v>
      </c>
      <c r="C1187" s="4">
        <v>4</v>
      </c>
      <c r="D1187" s="8">
        <v>1.58</v>
      </c>
      <c r="E1187" s="4">
        <v>0</v>
      </c>
      <c r="F1187" s="8">
        <v>0</v>
      </c>
      <c r="G1187" s="4">
        <v>4</v>
      </c>
      <c r="H1187" s="8">
        <v>2.6</v>
      </c>
      <c r="I1187" s="4">
        <v>0</v>
      </c>
    </row>
    <row r="1188" spans="1:9" x14ac:dyDescent="0.15">
      <c r="A1188" s="2">
        <v>19</v>
      </c>
      <c r="B1188" s="1" t="s">
        <v>141</v>
      </c>
      <c r="C1188" s="4">
        <v>4</v>
      </c>
      <c r="D1188" s="8">
        <v>1.58</v>
      </c>
      <c r="E1188" s="4">
        <v>2</v>
      </c>
      <c r="F1188" s="8">
        <v>2.02</v>
      </c>
      <c r="G1188" s="4">
        <v>2</v>
      </c>
      <c r="H1188" s="8">
        <v>1.3</v>
      </c>
      <c r="I1188" s="4">
        <v>0</v>
      </c>
    </row>
    <row r="1189" spans="1:9" x14ac:dyDescent="0.15">
      <c r="A1189" s="2">
        <v>19</v>
      </c>
      <c r="B1189" s="1" t="s">
        <v>197</v>
      </c>
      <c r="C1189" s="4">
        <v>4</v>
      </c>
      <c r="D1189" s="8">
        <v>1.58</v>
      </c>
      <c r="E1189" s="4">
        <v>2</v>
      </c>
      <c r="F1189" s="8">
        <v>2.02</v>
      </c>
      <c r="G1189" s="4">
        <v>2</v>
      </c>
      <c r="H1189" s="8">
        <v>1.3</v>
      </c>
      <c r="I1189" s="4">
        <v>0</v>
      </c>
    </row>
    <row r="1190" spans="1:9" x14ac:dyDescent="0.15">
      <c r="A1190" s="2">
        <v>19</v>
      </c>
      <c r="B1190" s="1" t="s">
        <v>145</v>
      </c>
      <c r="C1190" s="4">
        <v>4</v>
      </c>
      <c r="D1190" s="8">
        <v>1.58</v>
      </c>
      <c r="E1190" s="4">
        <v>3</v>
      </c>
      <c r="F1190" s="8">
        <v>3.03</v>
      </c>
      <c r="G1190" s="4">
        <v>1</v>
      </c>
      <c r="H1190" s="8">
        <v>0.65</v>
      </c>
      <c r="I1190" s="4">
        <v>0</v>
      </c>
    </row>
    <row r="1191" spans="1:9" x14ac:dyDescent="0.15">
      <c r="A1191" s="1"/>
      <c r="C1191" s="4"/>
      <c r="D1191" s="8"/>
      <c r="E1191" s="4"/>
      <c r="F1191" s="8"/>
      <c r="G1191" s="4"/>
      <c r="H1191" s="8"/>
      <c r="I1191" s="4"/>
    </row>
    <row r="1192" spans="1:9" x14ac:dyDescent="0.15">
      <c r="A1192" s="1" t="s">
        <v>53</v>
      </c>
      <c r="C1192" s="4"/>
      <c r="D1192" s="8"/>
      <c r="E1192" s="4"/>
      <c r="F1192" s="8"/>
      <c r="G1192" s="4"/>
      <c r="H1192" s="8"/>
      <c r="I1192" s="4"/>
    </row>
    <row r="1193" spans="1:9" x14ac:dyDescent="0.15">
      <c r="A1193" s="2">
        <v>1</v>
      </c>
      <c r="B1193" s="1" t="s">
        <v>148</v>
      </c>
      <c r="C1193" s="4">
        <v>67</v>
      </c>
      <c r="D1193" s="8">
        <v>15.91</v>
      </c>
      <c r="E1193" s="4">
        <v>60</v>
      </c>
      <c r="F1193" s="8">
        <v>23.62</v>
      </c>
      <c r="G1193" s="4">
        <v>7</v>
      </c>
      <c r="H1193" s="8">
        <v>4.22</v>
      </c>
      <c r="I1193" s="4">
        <v>0</v>
      </c>
    </row>
    <row r="1194" spans="1:9" x14ac:dyDescent="0.15">
      <c r="A1194" s="2">
        <v>2</v>
      </c>
      <c r="B1194" s="1" t="s">
        <v>147</v>
      </c>
      <c r="C1194" s="4">
        <v>23</v>
      </c>
      <c r="D1194" s="8">
        <v>5.46</v>
      </c>
      <c r="E1194" s="4">
        <v>13</v>
      </c>
      <c r="F1194" s="8">
        <v>5.12</v>
      </c>
      <c r="G1194" s="4">
        <v>10</v>
      </c>
      <c r="H1194" s="8">
        <v>6.02</v>
      </c>
      <c r="I1194" s="4">
        <v>0</v>
      </c>
    </row>
    <row r="1195" spans="1:9" x14ac:dyDescent="0.15">
      <c r="A1195" s="2">
        <v>3</v>
      </c>
      <c r="B1195" s="1" t="s">
        <v>150</v>
      </c>
      <c r="C1195" s="4">
        <v>19</v>
      </c>
      <c r="D1195" s="8">
        <v>4.51</v>
      </c>
      <c r="E1195" s="4">
        <v>19</v>
      </c>
      <c r="F1195" s="8">
        <v>7.48</v>
      </c>
      <c r="G1195" s="4">
        <v>0</v>
      </c>
      <c r="H1195" s="8">
        <v>0</v>
      </c>
      <c r="I1195" s="4">
        <v>0</v>
      </c>
    </row>
    <row r="1196" spans="1:9" x14ac:dyDescent="0.15">
      <c r="A1196" s="2">
        <v>4</v>
      </c>
      <c r="B1196" s="1" t="s">
        <v>155</v>
      </c>
      <c r="C1196" s="4">
        <v>18</v>
      </c>
      <c r="D1196" s="8">
        <v>4.28</v>
      </c>
      <c r="E1196" s="4">
        <v>17</v>
      </c>
      <c r="F1196" s="8">
        <v>6.69</v>
      </c>
      <c r="G1196" s="4">
        <v>1</v>
      </c>
      <c r="H1196" s="8">
        <v>0.6</v>
      </c>
      <c r="I1196" s="4">
        <v>0</v>
      </c>
    </row>
    <row r="1197" spans="1:9" x14ac:dyDescent="0.15">
      <c r="A1197" s="2">
        <v>5</v>
      </c>
      <c r="B1197" s="1" t="s">
        <v>138</v>
      </c>
      <c r="C1197" s="4">
        <v>11</v>
      </c>
      <c r="D1197" s="8">
        <v>2.61</v>
      </c>
      <c r="E1197" s="4">
        <v>4</v>
      </c>
      <c r="F1197" s="8">
        <v>1.57</v>
      </c>
      <c r="G1197" s="4">
        <v>7</v>
      </c>
      <c r="H1197" s="8">
        <v>4.22</v>
      </c>
      <c r="I1197" s="4">
        <v>0</v>
      </c>
    </row>
    <row r="1198" spans="1:9" x14ac:dyDescent="0.15">
      <c r="A1198" s="2">
        <v>5</v>
      </c>
      <c r="B1198" s="1" t="s">
        <v>144</v>
      </c>
      <c r="C1198" s="4">
        <v>11</v>
      </c>
      <c r="D1198" s="8">
        <v>2.61</v>
      </c>
      <c r="E1198" s="4">
        <v>7</v>
      </c>
      <c r="F1198" s="8">
        <v>2.76</v>
      </c>
      <c r="G1198" s="4">
        <v>4</v>
      </c>
      <c r="H1198" s="8">
        <v>2.41</v>
      </c>
      <c r="I1198" s="4">
        <v>0</v>
      </c>
    </row>
    <row r="1199" spans="1:9" x14ac:dyDescent="0.15">
      <c r="A1199" s="2">
        <v>5</v>
      </c>
      <c r="B1199" s="1" t="s">
        <v>152</v>
      </c>
      <c r="C1199" s="4">
        <v>11</v>
      </c>
      <c r="D1199" s="8">
        <v>2.61</v>
      </c>
      <c r="E1199" s="4">
        <v>11</v>
      </c>
      <c r="F1199" s="8">
        <v>4.33</v>
      </c>
      <c r="G1199" s="4">
        <v>0</v>
      </c>
      <c r="H1199" s="8">
        <v>0</v>
      </c>
      <c r="I1199" s="4">
        <v>0</v>
      </c>
    </row>
    <row r="1200" spans="1:9" x14ac:dyDescent="0.15">
      <c r="A1200" s="2">
        <v>8</v>
      </c>
      <c r="B1200" s="1" t="s">
        <v>157</v>
      </c>
      <c r="C1200" s="4">
        <v>10</v>
      </c>
      <c r="D1200" s="8">
        <v>2.38</v>
      </c>
      <c r="E1200" s="4">
        <v>8</v>
      </c>
      <c r="F1200" s="8">
        <v>3.15</v>
      </c>
      <c r="G1200" s="4">
        <v>2</v>
      </c>
      <c r="H1200" s="8">
        <v>1.2</v>
      </c>
      <c r="I1200" s="4">
        <v>0</v>
      </c>
    </row>
    <row r="1201" spans="1:9" x14ac:dyDescent="0.15">
      <c r="A1201" s="2">
        <v>9</v>
      </c>
      <c r="B1201" s="1" t="s">
        <v>174</v>
      </c>
      <c r="C1201" s="4">
        <v>9</v>
      </c>
      <c r="D1201" s="8">
        <v>2.14</v>
      </c>
      <c r="E1201" s="4">
        <v>6</v>
      </c>
      <c r="F1201" s="8">
        <v>2.36</v>
      </c>
      <c r="G1201" s="4">
        <v>3</v>
      </c>
      <c r="H1201" s="8">
        <v>1.81</v>
      </c>
      <c r="I1201" s="4">
        <v>0</v>
      </c>
    </row>
    <row r="1202" spans="1:9" x14ac:dyDescent="0.15">
      <c r="A1202" s="2">
        <v>10</v>
      </c>
      <c r="B1202" s="1" t="s">
        <v>140</v>
      </c>
      <c r="C1202" s="4">
        <v>8</v>
      </c>
      <c r="D1202" s="8">
        <v>1.9</v>
      </c>
      <c r="E1202" s="4">
        <v>2</v>
      </c>
      <c r="F1202" s="8">
        <v>0.79</v>
      </c>
      <c r="G1202" s="4">
        <v>6</v>
      </c>
      <c r="H1202" s="8">
        <v>3.61</v>
      </c>
      <c r="I1202" s="4">
        <v>0</v>
      </c>
    </row>
    <row r="1203" spans="1:9" x14ac:dyDescent="0.15">
      <c r="A1203" s="2">
        <v>11</v>
      </c>
      <c r="B1203" s="1" t="s">
        <v>139</v>
      </c>
      <c r="C1203" s="4">
        <v>7</v>
      </c>
      <c r="D1203" s="8">
        <v>1.66</v>
      </c>
      <c r="E1203" s="4">
        <v>1</v>
      </c>
      <c r="F1203" s="8">
        <v>0.39</v>
      </c>
      <c r="G1203" s="4">
        <v>6</v>
      </c>
      <c r="H1203" s="8">
        <v>3.61</v>
      </c>
      <c r="I1203" s="4">
        <v>0</v>
      </c>
    </row>
    <row r="1204" spans="1:9" x14ac:dyDescent="0.15">
      <c r="A1204" s="2">
        <v>11</v>
      </c>
      <c r="B1204" s="1" t="s">
        <v>160</v>
      </c>
      <c r="C1204" s="4">
        <v>7</v>
      </c>
      <c r="D1204" s="8">
        <v>1.66</v>
      </c>
      <c r="E1204" s="4">
        <v>3</v>
      </c>
      <c r="F1204" s="8">
        <v>1.18</v>
      </c>
      <c r="G1204" s="4">
        <v>4</v>
      </c>
      <c r="H1204" s="8">
        <v>2.41</v>
      </c>
      <c r="I1204" s="4">
        <v>0</v>
      </c>
    </row>
    <row r="1205" spans="1:9" x14ac:dyDescent="0.15">
      <c r="A1205" s="2">
        <v>11</v>
      </c>
      <c r="B1205" s="1" t="s">
        <v>141</v>
      </c>
      <c r="C1205" s="4">
        <v>7</v>
      </c>
      <c r="D1205" s="8">
        <v>1.66</v>
      </c>
      <c r="E1205" s="4">
        <v>1</v>
      </c>
      <c r="F1205" s="8">
        <v>0.39</v>
      </c>
      <c r="G1205" s="4">
        <v>6</v>
      </c>
      <c r="H1205" s="8">
        <v>3.61</v>
      </c>
      <c r="I1205" s="4">
        <v>0</v>
      </c>
    </row>
    <row r="1206" spans="1:9" x14ac:dyDescent="0.15">
      <c r="A1206" s="2">
        <v>11</v>
      </c>
      <c r="B1206" s="1" t="s">
        <v>149</v>
      </c>
      <c r="C1206" s="4">
        <v>7</v>
      </c>
      <c r="D1206" s="8">
        <v>1.66</v>
      </c>
      <c r="E1206" s="4">
        <v>0</v>
      </c>
      <c r="F1206" s="8">
        <v>0</v>
      </c>
      <c r="G1206" s="4">
        <v>7</v>
      </c>
      <c r="H1206" s="8">
        <v>4.22</v>
      </c>
      <c r="I1206" s="4">
        <v>0</v>
      </c>
    </row>
    <row r="1207" spans="1:9" x14ac:dyDescent="0.15">
      <c r="A1207" s="2">
        <v>11</v>
      </c>
      <c r="B1207" s="1" t="s">
        <v>154</v>
      </c>
      <c r="C1207" s="4">
        <v>7</v>
      </c>
      <c r="D1207" s="8">
        <v>1.66</v>
      </c>
      <c r="E1207" s="4">
        <v>6</v>
      </c>
      <c r="F1207" s="8">
        <v>2.36</v>
      </c>
      <c r="G1207" s="4">
        <v>1</v>
      </c>
      <c r="H1207" s="8">
        <v>0.6</v>
      </c>
      <c r="I1207" s="4">
        <v>0</v>
      </c>
    </row>
    <row r="1208" spans="1:9" x14ac:dyDescent="0.15">
      <c r="A1208" s="2">
        <v>16</v>
      </c>
      <c r="B1208" s="1" t="s">
        <v>158</v>
      </c>
      <c r="C1208" s="4">
        <v>6</v>
      </c>
      <c r="D1208" s="8">
        <v>1.43</v>
      </c>
      <c r="E1208" s="4">
        <v>2</v>
      </c>
      <c r="F1208" s="8">
        <v>0.79</v>
      </c>
      <c r="G1208" s="4">
        <v>4</v>
      </c>
      <c r="H1208" s="8">
        <v>2.41</v>
      </c>
      <c r="I1208" s="4">
        <v>0</v>
      </c>
    </row>
    <row r="1209" spans="1:9" x14ac:dyDescent="0.15">
      <c r="A1209" s="2">
        <v>16</v>
      </c>
      <c r="B1209" s="1" t="s">
        <v>151</v>
      </c>
      <c r="C1209" s="4">
        <v>6</v>
      </c>
      <c r="D1209" s="8">
        <v>1.43</v>
      </c>
      <c r="E1209" s="4">
        <v>5</v>
      </c>
      <c r="F1209" s="8">
        <v>1.97</v>
      </c>
      <c r="G1209" s="4">
        <v>1</v>
      </c>
      <c r="H1209" s="8">
        <v>0.6</v>
      </c>
      <c r="I1209" s="4">
        <v>0</v>
      </c>
    </row>
    <row r="1210" spans="1:9" x14ac:dyDescent="0.15">
      <c r="A1210" s="2">
        <v>16</v>
      </c>
      <c r="B1210" s="1" t="s">
        <v>199</v>
      </c>
      <c r="C1210" s="4">
        <v>6</v>
      </c>
      <c r="D1210" s="8">
        <v>1.43</v>
      </c>
      <c r="E1210" s="4">
        <v>2</v>
      </c>
      <c r="F1210" s="8">
        <v>0.79</v>
      </c>
      <c r="G1210" s="4">
        <v>4</v>
      </c>
      <c r="H1210" s="8">
        <v>2.41</v>
      </c>
      <c r="I1210" s="4">
        <v>0</v>
      </c>
    </row>
    <row r="1211" spans="1:9" x14ac:dyDescent="0.15">
      <c r="A1211" s="2">
        <v>19</v>
      </c>
      <c r="B1211" s="1" t="s">
        <v>198</v>
      </c>
      <c r="C1211" s="4">
        <v>5</v>
      </c>
      <c r="D1211" s="8">
        <v>1.19</v>
      </c>
      <c r="E1211" s="4">
        <v>2</v>
      </c>
      <c r="F1211" s="8">
        <v>0.79</v>
      </c>
      <c r="G1211" s="4">
        <v>3</v>
      </c>
      <c r="H1211" s="8">
        <v>1.81</v>
      </c>
      <c r="I1211" s="4">
        <v>0</v>
      </c>
    </row>
    <row r="1212" spans="1:9" x14ac:dyDescent="0.15">
      <c r="A1212" s="2">
        <v>19</v>
      </c>
      <c r="B1212" s="1" t="s">
        <v>193</v>
      </c>
      <c r="C1212" s="4">
        <v>5</v>
      </c>
      <c r="D1212" s="8">
        <v>1.19</v>
      </c>
      <c r="E1212" s="4">
        <v>2</v>
      </c>
      <c r="F1212" s="8">
        <v>0.79</v>
      </c>
      <c r="G1212" s="4">
        <v>3</v>
      </c>
      <c r="H1212" s="8">
        <v>1.81</v>
      </c>
      <c r="I1212" s="4">
        <v>0</v>
      </c>
    </row>
    <row r="1213" spans="1:9" x14ac:dyDescent="0.15">
      <c r="A1213" s="2">
        <v>19</v>
      </c>
      <c r="B1213" s="1" t="s">
        <v>143</v>
      </c>
      <c r="C1213" s="4">
        <v>5</v>
      </c>
      <c r="D1213" s="8">
        <v>1.19</v>
      </c>
      <c r="E1213" s="4">
        <v>2</v>
      </c>
      <c r="F1213" s="8">
        <v>0.79</v>
      </c>
      <c r="G1213" s="4">
        <v>3</v>
      </c>
      <c r="H1213" s="8">
        <v>1.81</v>
      </c>
      <c r="I1213" s="4">
        <v>0</v>
      </c>
    </row>
    <row r="1214" spans="1:9" x14ac:dyDescent="0.15">
      <c r="A1214" s="2">
        <v>19</v>
      </c>
      <c r="B1214" s="1" t="s">
        <v>159</v>
      </c>
      <c r="C1214" s="4">
        <v>5</v>
      </c>
      <c r="D1214" s="8">
        <v>1.19</v>
      </c>
      <c r="E1214" s="4">
        <v>2</v>
      </c>
      <c r="F1214" s="8">
        <v>0.79</v>
      </c>
      <c r="G1214" s="4">
        <v>3</v>
      </c>
      <c r="H1214" s="8">
        <v>1.81</v>
      </c>
      <c r="I1214" s="4">
        <v>0</v>
      </c>
    </row>
    <row r="1215" spans="1:9" x14ac:dyDescent="0.15">
      <c r="A1215" s="2">
        <v>19</v>
      </c>
      <c r="B1215" s="1" t="s">
        <v>156</v>
      </c>
      <c r="C1215" s="4">
        <v>5</v>
      </c>
      <c r="D1215" s="8">
        <v>1.19</v>
      </c>
      <c r="E1215" s="4">
        <v>5</v>
      </c>
      <c r="F1215" s="8">
        <v>1.97</v>
      </c>
      <c r="G1215" s="4">
        <v>0</v>
      </c>
      <c r="H1215" s="8">
        <v>0</v>
      </c>
      <c r="I1215" s="4">
        <v>0</v>
      </c>
    </row>
    <row r="1216" spans="1:9" x14ac:dyDescent="0.15">
      <c r="A1216" s="1"/>
      <c r="C1216" s="4"/>
      <c r="D1216" s="8"/>
      <c r="E1216" s="4"/>
      <c r="F1216" s="8"/>
      <c r="G1216" s="4"/>
      <c r="H1216" s="8"/>
      <c r="I1216" s="4"/>
    </row>
    <row r="1217" spans="1:9" x14ac:dyDescent="0.15">
      <c r="A1217" s="1" t="s">
        <v>54</v>
      </c>
      <c r="C1217" s="4"/>
      <c r="D1217" s="8"/>
      <c r="E1217" s="4"/>
      <c r="F1217" s="8"/>
      <c r="G1217" s="4"/>
      <c r="H1217" s="8"/>
      <c r="I1217" s="4"/>
    </row>
    <row r="1218" spans="1:9" x14ac:dyDescent="0.15">
      <c r="A1218" s="2">
        <v>1</v>
      </c>
      <c r="B1218" s="1" t="s">
        <v>148</v>
      </c>
      <c r="C1218" s="4">
        <v>62</v>
      </c>
      <c r="D1218" s="8">
        <v>16.71</v>
      </c>
      <c r="E1218" s="4">
        <v>57</v>
      </c>
      <c r="F1218" s="8">
        <v>22.27</v>
      </c>
      <c r="G1218" s="4">
        <v>5</v>
      </c>
      <c r="H1218" s="8">
        <v>4.3499999999999996</v>
      </c>
      <c r="I1218" s="4">
        <v>0</v>
      </c>
    </row>
    <row r="1219" spans="1:9" x14ac:dyDescent="0.15">
      <c r="A1219" s="2">
        <v>2</v>
      </c>
      <c r="B1219" s="1" t="s">
        <v>173</v>
      </c>
      <c r="C1219" s="4">
        <v>37</v>
      </c>
      <c r="D1219" s="8">
        <v>9.9700000000000006</v>
      </c>
      <c r="E1219" s="4">
        <v>33</v>
      </c>
      <c r="F1219" s="8">
        <v>12.89</v>
      </c>
      <c r="G1219" s="4">
        <v>4</v>
      </c>
      <c r="H1219" s="8">
        <v>3.48</v>
      </c>
      <c r="I1219" s="4">
        <v>0</v>
      </c>
    </row>
    <row r="1220" spans="1:9" x14ac:dyDescent="0.15">
      <c r="A1220" s="2">
        <v>3</v>
      </c>
      <c r="B1220" s="1" t="s">
        <v>155</v>
      </c>
      <c r="C1220" s="4">
        <v>15</v>
      </c>
      <c r="D1220" s="8">
        <v>4.04</v>
      </c>
      <c r="E1220" s="4">
        <v>15</v>
      </c>
      <c r="F1220" s="8">
        <v>5.86</v>
      </c>
      <c r="G1220" s="4">
        <v>0</v>
      </c>
      <c r="H1220" s="8">
        <v>0</v>
      </c>
      <c r="I1220" s="4">
        <v>0</v>
      </c>
    </row>
    <row r="1221" spans="1:9" x14ac:dyDescent="0.15">
      <c r="A1221" s="2">
        <v>4</v>
      </c>
      <c r="B1221" s="1" t="s">
        <v>174</v>
      </c>
      <c r="C1221" s="4">
        <v>10</v>
      </c>
      <c r="D1221" s="8">
        <v>2.7</v>
      </c>
      <c r="E1221" s="4">
        <v>5</v>
      </c>
      <c r="F1221" s="8">
        <v>1.95</v>
      </c>
      <c r="G1221" s="4">
        <v>5</v>
      </c>
      <c r="H1221" s="8">
        <v>4.3499999999999996</v>
      </c>
      <c r="I1221" s="4">
        <v>0</v>
      </c>
    </row>
    <row r="1222" spans="1:9" x14ac:dyDescent="0.15">
      <c r="A1222" s="2">
        <v>4</v>
      </c>
      <c r="B1222" s="1" t="s">
        <v>183</v>
      </c>
      <c r="C1222" s="4">
        <v>10</v>
      </c>
      <c r="D1222" s="8">
        <v>2.7</v>
      </c>
      <c r="E1222" s="4">
        <v>10</v>
      </c>
      <c r="F1222" s="8">
        <v>3.91</v>
      </c>
      <c r="G1222" s="4">
        <v>0</v>
      </c>
      <c r="H1222" s="8">
        <v>0</v>
      </c>
      <c r="I1222" s="4">
        <v>0</v>
      </c>
    </row>
    <row r="1223" spans="1:9" x14ac:dyDescent="0.15">
      <c r="A1223" s="2">
        <v>4</v>
      </c>
      <c r="B1223" s="1" t="s">
        <v>151</v>
      </c>
      <c r="C1223" s="4">
        <v>10</v>
      </c>
      <c r="D1223" s="8">
        <v>2.7</v>
      </c>
      <c r="E1223" s="4">
        <v>9</v>
      </c>
      <c r="F1223" s="8">
        <v>3.52</v>
      </c>
      <c r="G1223" s="4">
        <v>1</v>
      </c>
      <c r="H1223" s="8">
        <v>0.87</v>
      </c>
      <c r="I1223" s="4">
        <v>0</v>
      </c>
    </row>
    <row r="1224" spans="1:9" x14ac:dyDescent="0.15">
      <c r="A1224" s="2">
        <v>4</v>
      </c>
      <c r="B1224" s="1" t="s">
        <v>152</v>
      </c>
      <c r="C1224" s="4">
        <v>10</v>
      </c>
      <c r="D1224" s="8">
        <v>2.7</v>
      </c>
      <c r="E1224" s="4">
        <v>10</v>
      </c>
      <c r="F1224" s="8">
        <v>3.91</v>
      </c>
      <c r="G1224" s="4">
        <v>0</v>
      </c>
      <c r="H1224" s="8">
        <v>0</v>
      </c>
      <c r="I1224" s="4">
        <v>0</v>
      </c>
    </row>
    <row r="1225" spans="1:9" x14ac:dyDescent="0.15">
      <c r="A1225" s="2">
        <v>8</v>
      </c>
      <c r="B1225" s="1" t="s">
        <v>154</v>
      </c>
      <c r="C1225" s="4">
        <v>8</v>
      </c>
      <c r="D1225" s="8">
        <v>2.16</v>
      </c>
      <c r="E1225" s="4">
        <v>8</v>
      </c>
      <c r="F1225" s="8">
        <v>3.13</v>
      </c>
      <c r="G1225" s="4">
        <v>0</v>
      </c>
      <c r="H1225" s="8">
        <v>0</v>
      </c>
      <c r="I1225" s="4">
        <v>0</v>
      </c>
    </row>
    <row r="1226" spans="1:9" x14ac:dyDescent="0.15">
      <c r="A1226" s="2">
        <v>9</v>
      </c>
      <c r="B1226" s="1" t="s">
        <v>145</v>
      </c>
      <c r="C1226" s="4">
        <v>7</v>
      </c>
      <c r="D1226" s="8">
        <v>1.89</v>
      </c>
      <c r="E1226" s="4">
        <v>5</v>
      </c>
      <c r="F1226" s="8">
        <v>1.95</v>
      </c>
      <c r="G1226" s="4">
        <v>2</v>
      </c>
      <c r="H1226" s="8">
        <v>1.74</v>
      </c>
      <c r="I1226" s="4">
        <v>0</v>
      </c>
    </row>
    <row r="1227" spans="1:9" x14ac:dyDescent="0.15">
      <c r="A1227" s="2">
        <v>9</v>
      </c>
      <c r="B1227" s="1" t="s">
        <v>159</v>
      </c>
      <c r="C1227" s="4">
        <v>7</v>
      </c>
      <c r="D1227" s="8">
        <v>1.89</v>
      </c>
      <c r="E1227" s="4">
        <v>2</v>
      </c>
      <c r="F1227" s="8">
        <v>0.78</v>
      </c>
      <c r="G1227" s="4">
        <v>5</v>
      </c>
      <c r="H1227" s="8">
        <v>4.3499999999999996</v>
      </c>
      <c r="I1227" s="4">
        <v>0</v>
      </c>
    </row>
    <row r="1228" spans="1:9" x14ac:dyDescent="0.15">
      <c r="A1228" s="2">
        <v>11</v>
      </c>
      <c r="B1228" s="1" t="s">
        <v>142</v>
      </c>
      <c r="C1228" s="4">
        <v>6</v>
      </c>
      <c r="D1228" s="8">
        <v>1.62</v>
      </c>
      <c r="E1228" s="4">
        <v>5</v>
      </c>
      <c r="F1228" s="8">
        <v>1.95</v>
      </c>
      <c r="G1228" s="4">
        <v>1</v>
      </c>
      <c r="H1228" s="8">
        <v>0.87</v>
      </c>
      <c r="I1228" s="4">
        <v>0</v>
      </c>
    </row>
    <row r="1229" spans="1:9" x14ac:dyDescent="0.15">
      <c r="A1229" s="2">
        <v>11</v>
      </c>
      <c r="B1229" s="1" t="s">
        <v>149</v>
      </c>
      <c r="C1229" s="4">
        <v>6</v>
      </c>
      <c r="D1229" s="8">
        <v>1.62</v>
      </c>
      <c r="E1229" s="4">
        <v>0</v>
      </c>
      <c r="F1229" s="8">
        <v>0</v>
      </c>
      <c r="G1229" s="4">
        <v>6</v>
      </c>
      <c r="H1229" s="8">
        <v>5.22</v>
      </c>
      <c r="I1229" s="4">
        <v>0</v>
      </c>
    </row>
    <row r="1230" spans="1:9" x14ac:dyDescent="0.15">
      <c r="A1230" s="2">
        <v>11</v>
      </c>
      <c r="B1230" s="1" t="s">
        <v>150</v>
      </c>
      <c r="C1230" s="4">
        <v>6</v>
      </c>
      <c r="D1230" s="8">
        <v>1.62</v>
      </c>
      <c r="E1230" s="4">
        <v>4</v>
      </c>
      <c r="F1230" s="8">
        <v>1.56</v>
      </c>
      <c r="G1230" s="4">
        <v>2</v>
      </c>
      <c r="H1230" s="8">
        <v>1.74</v>
      </c>
      <c r="I1230" s="4">
        <v>0</v>
      </c>
    </row>
    <row r="1231" spans="1:9" x14ac:dyDescent="0.15">
      <c r="A1231" s="2">
        <v>11</v>
      </c>
      <c r="B1231" s="1" t="s">
        <v>156</v>
      </c>
      <c r="C1231" s="4">
        <v>6</v>
      </c>
      <c r="D1231" s="8">
        <v>1.62</v>
      </c>
      <c r="E1231" s="4">
        <v>4</v>
      </c>
      <c r="F1231" s="8">
        <v>1.56</v>
      </c>
      <c r="G1231" s="4">
        <v>2</v>
      </c>
      <c r="H1231" s="8">
        <v>1.74</v>
      </c>
      <c r="I1231" s="4">
        <v>0</v>
      </c>
    </row>
    <row r="1232" spans="1:9" x14ac:dyDescent="0.15">
      <c r="A1232" s="2">
        <v>11</v>
      </c>
      <c r="B1232" s="1" t="s">
        <v>181</v>
      </c>
      <c r="C1232" s="4">
        <v>6</v>
      </c>
      <c r="D1232" s="8">
        <v>1.62</v>
      </c>
      <c r="E1232" s="4">
        <v>2</v>
      </c>
      <c r="F1232" s="8">
        <v>0.78</v>
      </c>
      <c r="G1232" s="4">
        <v>4</v>
      </c>
      <c r="H1232" s="8">
        <v>3.48</v>
      </c>
      <c r="I1232" s="4">
        <v>0</v>
      </c>
    </row>
    <row r="1233" spans="1:9" x14ac:dyDescent="0.15">
      <c r="A1233" s="2">
        <v>16</v>
      </c>
      <c r="B1233" s="1" t="s">
        <v>138</v>
      </c>
      <c r="C1233" s="4">
        <v>5</v>
      </c>
      <c r="D1233" s="8">
        <v>1.35</v>
      </c>
      <c r="E1233" s="4">
        <v>0</v>
      </c>
      <c r="F1233" s="8">
        <v>0</v>
      </c>
      <c r="G1233" s="4">
        <v>5</v>
      </c>
      <c r="H1233" s="8">
        <v>4.3499999999999996</v>
      </c>
      <c r="I1233" s="4">
        <v>0</v>
      </c>
    </row>
    <row r="1234" spans="1:9" x14ac:dyDescent="0.15">
      <c r="A1234" s="2">
        <v>16</v>
      </c>
      <c r="B1234" s="1" t="s">
        <v>140</v>
      </c>
      <c r="C1234" s="4">
        <v>5</v>
      </c>
      <c r="D1234" s="8">
        <v>1.35</v>
      </c>
      <c r="E1234" s="4">
        <v>2</v>
      </c>
      <c r="F1234" s="8">
        <v>0.78</v>
      </c>
      <c r="G1234" s="4">
        <v>3</v>
      </c>
      <c r="H1234" s="8">
        <v>2.61</v>
      </c>
      <c r="I1234" s="4">
        <v>0</v>
      </c>
    </row>
    <row r="1235" spans="1:9" x14ac:dyDescent="0.15">
      <c r="A1235" s="2">
        <v>16</v>
      </c>
      <c r="B1235" s="1" t="s">
        <v>147</v>
      </c>
      <c r="C1235" s="4">
        <v>5</v>
      </c>
      <c r="D1235" s="8">
        <v>1.35</v>
      </c>
      <c r="E1235" s="4">
        <v>4</v>
      </c>
      <c r="F1235" s="8">
        <v>1.56</v>
      </c>
      <c r="G1235" s="4">
        <v>1</v>
      </c>
      <c r="H1235" s="8">
        <v>0.87</v>
      </c>
      <c r="I1235" s="4">
        <v>0</v>
      </c>
    </row>
    <row r="1236" spans="1:9" x14ac:dyDescent="0.15">
      <c r="A1236" s="2">
        <v>16</v>
      </c>
      <c r="B1236" s="1" t="s">
        <v>187</v>
      </c>
      <c r="C1236" s="4">
        <v>5</v>
      </c>
      <c r="D1236" s="8">
        <v>1.35</v>
      </c>
      <c r="E1236" s="4">
        <v>4</v>
      </c>
      <c r="F1236" s="8">
        <v>1.56</v>
      </c>
      <c r="G1236" s="4">
        <v>1</v>
      </c>
      <c r="H1236" s="8">
        <v>0.87</v>
      </c>
      <c r="I1236" s="4">
        <v>0</v>
      </c>
    </row>
    <row r="1237" spans="1:9" x14ac:dyDescent="0.15">
      <c r="A1237" s="2">
        <v>16</v>
      </c>
      <c r="B1237" s="1" t="s">
        <v>200</v>
      </c>
      <c r="C1237" s="4">
        <v>5</v>
      </c>
      <c r="D1237" s="8">
        <v>1.35</v>
      </c>
      <c r="E1237" s="4">
        <v>0</v>
      </c>
      <c r="F1237" s="8">
        <v>0</v>
      </c>
      <c r="G1237" s="4">
        <v>5</v>
      </c>
      <c r="H1237" s="8">
        <v>4.3499999999999996</v>
      </c>
      <c r="I1237" s="4">
        <v>0</v>
      </c>
    </row>
    <row r="1238" spans="1:9" x14ac:dyDescent="0.15">
      <c r="A1238" s="2">
        <v>16</v>
      </c>
      <c r="B1238" s="1" t="s">
        <v>157</v>
      </c>
      <c r="C1238" s="4">
        <v>5</v>
      </c>
      <c r="D1238" s="8">
        <v>1.35</v>
      </c>
      <c r="E1238" s="4">
        <v>4</v>
      </c>
      <c r="F1238" s="8">
        <v>1.56</v>
      </c>
      <c r="G1238" s="4">
        <v>1</v>
      </c>
      <c r="H1238" s="8">
        <v>0.87</v>
      </c>
      <c r="I1238" s="4">
        <v>0</v>
      </c>
    </row>
    <row r="1239" spans="1:9" x14ac:dyDescent="0.15">
      <c r="A1239" s="1"/>
      <c r="C1239" s="4"/>
      <c r="D1239" s="8"/>
      <c r="E1239" s="4"/>
      <c r="F1239" s="8"/>
      <c r="G1239" s="4"/>
      <c r="H1239" s="8"/>
      <c r="I1239" s="4"/>
    </row>
    <row r="1240" spans="1:9" x14ac:dyDescent="0.15">
      <c r="A1240" s="1" t="s">
        <v>55</v>
      </c>
      <c r="C1240" s="4"/>
      <c r="D1240" s="8"/>
      <c r="E1240" s="4"/>
      <c r="F1240" s="8"/>
      <c r="G1240" s="4"/>
      <c r="H1240" s="8"/>
      <c r="I1240" s="4"/>
    </row>
    <row r="1241" spans="1:9" x14ac:dyDescent="0.15">
      <c r="A1241" s="2">
        <v>1</v>
      </c>
      <c r="B1241" s="1" t="s">
        <v>138</v>
      </c>
      <c r="C1241" s="4">
        <v>19</v>
      </c>
      <c r="D1241" s="8">
        <v>6.69</v>
      </c>
      <c r="E1241" s="4">
        <v>1</v>
      </c>
      <c r="F1241" s="8">
        <v>0.64</v>
      </c>
      <c r="G1241" s="4">
        <v>18</v>
      </c>
      <c r="H1241" s="8">
        <v>14.4</v>
      </c>
      <c r="I1241" s="4">
        <v>0</v>
      </c>
    </row>
    <row r="1242" spans="1:9" x14ac:dyDescent="0.15">
      <c r="A1242" s="2">
        <v>2</v>
      </c>
      <c r="B1242" s="1" t="s">
        <v>173</v>
      </c>
      <c r="C1242" s="4">
        <v>11</v>
      </c>
      <c r="D1242" s="8">
        <v>3.87</v>
      </c>
      <c r="E1242" s="4">
        <v>11</v>
      </c>
      <c r="F1242" s="8">
        <v>7.01</v>
      </c>
      <c r="G1242" s="4">
        <v>0</v>
      </c>
      <c r="H1242" s="8">
        <v>0</v>
      </c>
      <c r="I1242" s="4">
        <v>0</v>
      </c>
    </row>
    <row r="1243" spans="1:9" x14ac:dyDescent="0.15">
      <c r="A1243" s="2">
        <v>2</v>
      </c>
      <c r="B1243" s="1" t="s">
        <v>155</v>
      </c>
      <c r="C1243" s="4">
        <v>11</v>
      </c>
      <c r="D1243" s="8">
        <v>3.87</v>
      </c>
      <c r="E1243" s="4">
        <v>11</v>
      </c>
      <c r="F1243" s="8">
        <v>7.01</v>
      </c>
      <c r="G1243" s="4">
        <v>0</v>
      </c>
      <c r="H1243" s="8">
        <v>0</v>
      </c>
      <c r="I1243" s="4">
        <v>0</v>
      </c>
    </row>
    <row r="1244" spans="1:9" x14ac:dyDescent="0.15">
      <c r="A1244" s="2">
        <v>4</v>
      </c>
      <c r="B1244" s="1" t="s">
        <v>143</v>
      </c>
      <c r="C1244" s="4">
        <v>10</v>
      </c>
      <c r="D1244" s="8">
        <v>3.52</v>
      </c>
      <c r="E1244" s="4">
        <v>7</v>
      </c>
      <c r="F1244" s="8">
        <v>4.46</v>
      </c>
      <c r="G1244" s="4">
        <v>3</v>
      </c>
      <c r="H1244" s="8">
        <v>2.4</v>
      </c>
      <c r="I1244" s="4">
        <v>0</v>
      </c>
    </row>
    <row r="1245" spans="1:9" x14ac:dyDescent="0.15">
      <c r="A1245" s="2">
        <v>5</v>
      </c>
      <c r="B1245" s="1" t="s">
        <v>154</v>
      </c>
      <c r="C1245" s="4">
        <v>9</v>
      </c>
      <c r="D1245" s="8">
        <v>3.17</v>
      </c>
      <c r="E1245" s="4">
        <v>9</v>
      </c>
      <c r="F1245" s="8">
        <v>5.73</v>
      </c>
      <c r="G1245" s="4">
        <v>0</v>
      </c>
      <c r="H1245" s="8">
        <v>0</v>
      </c>
      <c r="I1245" s="4">
        <v>0</v>
      </c>
    </row>
    <row r="1246" spans="1:9" x14ac:dyDescent="0.15">
      <c r="A1246" s="2">
        <v>6</v>
      </c>
      <c r="B1246" s="1" t="s">
        <v>156</v>
      </c>
      <c r="C1246" s="4">
        <v>8</v>
      </c>
      <c r="D1246" s="8">
        <v>2.82</v>
      </c>
      <c r="E1246" s="4">
        <v>8</v>
      </c>
      <c r="F1246" s="8">
        <v>5.0999999999999996</v>
      </c>
      <c r="G1246" s="4">
        <v>0</v>
      </c>
      <c r="H1246" s="8">
        <v>0</v>
      </c>
      <c r="I1246" s="4">
        <v>0</v>
      </c>
    </row>
    <row r="1247" spans="1:9" x14ac:dyDescent="0.15">
      <c r="A1247" s="2">
        <v>7</v>
      </c>
      <c r="B1247" s="1" t="s">
        <v>140</v>
      </c>
      <c r="C1247" s="4">
        <v>7</v>
      </c>
      <c r="D1247" s="8">
        <v>2.46</v>
      </c>
      <c r="E1247" s="4">
        <v>4</v>
      </c>
      <c r="F1247" s="8">
        <v>2.5499999999999998</v>
      </c>
      <c r="G1247" s="4">
        <v>3</v>
      </c>
      <c r="H1247" s="8">
        <v>2.4</v>
      </c>
      <c r="I1247" s="4">
        <v>0</v>
      </c>
    </row>
    <row r="1248" spans="1:9" x14ac:dyDescent="0.15">
      <c r="A1248" s="2">
        <v>7</v>
      </c>
      <c r="B1248" s="1" t="s">
        <v>144</v>
      </c>
      <c r="C1248" s="4">
        <v>7</v>
      </c>
      <c r="D1248" s="8">
        <v>2.46</v>
      </c>
      <c r="E1248" s="4">
        <v>2</v>
      </c>
      <c r="F1248" s="8">
        <v>1.27</v>
      </c>
      <c r="G1248" s="4">
        <v>5</v>
      </c>
      <c r="H1248" s="8">
        <v>4</v>
      </c>
      <c r="I1248" s="4">
        <v>0</v>
      </c>
    </row>
    <row r="1249" spans="1:9" x14ac:dyDescent="0.15">
      <c r="A1249" s="2">
        <v>7</v>
      </c>
      <c r="B1249" s="1" t="s">
        <v>145</v>
      </c>
      <c r="C1249" s="4">
        <v>7</v>
      </c>
      <c r="D1249" s="8">
        <v>2.46</v>
      </c>
      <c r="E1249" s="4">
        <v>6</v>
      </c>
      <c r="F1249" s="8">
        <v>3.82</v>
      </c>
      <c r="G1249" s="4">
        <v>1</v>
      </c>
      <c r="H1249" s="8">
        <v>0.8</v>
      </c>
      <c r="I1249" s="4">
        <v>0</v>
      </c>
    </row>
    <row r="1250" spans="1:9" x14ac:dyDescent="0.15">
      <c r="A1250" s="2">
        <v>7</v>
      </c>
      <c r="B1250" s="1" t="s">
        <v>181</v>
      </c>
      <c r="C1250" s="4">
        <v>7</v>
      </c>
      <c r="D1250" s="8">
        <v>2.46</v>
      </c>
      <c r="E1250" s="4">
        <v>3</v>
      </c>
      <c r="F1250" s="8">
        <v>1.91</v>
      </c>
      <c r="G1250" s="4">
        <v>4</v>
      </c>
      <c r="H1250" s="8">
        <v>3.2</v>
      </c>
      <c r="I1250" s="4">
        <v>0</v>
      </c>
    </row>
    <row r="1251" spans="1:9" x14ac:dyDescent="0.15">
      <c r="A1251" s="2">
        <v>11</v>
      </c>
      <c r="B1251" s="1" t="s">
        <v>203</v>
      </c>
      <c r="C1251" s="4">
        <v>6</v>
      </c>
      <c r="D1251" s="8">
        <v>2.11</v>
      </c>
      <c r="E1251" s="4">
        <v>5</v>
      </c>
      <c r="F1251" s="8">
        <v>3.18</v>
      </c>
      <c r="G1251" s="4">
        <v>1</v>
      </c>
      <c r="H1251" s="8">
        <v>0.8</v>
      </c>
      <c r="I1251" s="4">
        <v>0</v>
      </c>
    </row>
    <row r="1252" spans="1:9" x14ac:dyDescent="0.15">
      <c r="A1252" s="2">
        <v>11</v>
      </c>
      <c r="B1252" s="1" t="s">
        <v>147</v>
      </c>
      <c r="C1252" s="4">
        <v>6</v>
      </c>
      <c r="D1252" s="8">
        <v>2.11</v>
      </c>
      <c r="E1252" s="4">
        <v>2</v>
      </c>
      <c r="F1252" s="8">
        <v>1.27</v>
      </c>
      <c r="G1252" s="4">
        <v>4</v>
      </c>
      <c r="H1252" s="8">
        <v>3.2</v>
      </c>
      <c r="I1252" s="4">
        <v>0</v>
      </c>
    </row>
    <row r="1253" spans="1:9" x14ac:dyDescent="0.15">
      <c r="A1253" s="2">
        <v>13</v>
      </c>
      <c r="B1253" s="1" t="s">
        <v>174</v>
      </c>
      <c r="C1253" s="4">
        <v>5</v>
      </c>
      <c r="D1253" s="8">
        <v>1.76</v>
      </c>
      <c r="E1253" s="4">
        <v>5</v>
      </c>
      <c r="F1253" s="8">
        <v>3.18</v>
      </c>
      <c r="G1253" s="4">
        <v>0</v>
      </c>
      <c r="H1253" s="8">
        <v>0</v>
      </c>
      <c r="I1253" s="4">
        <v>0</v>
      </c>
    </row>
    <row r="1254" spans="1:9" x14ac:dyDescent="0.15">
      <c r="A1254" s="2">
        <v>13</v>
      </c>
      <c r="B1254" s="1" t="s">
        <v>148</v>
      </c>
      <c r="C1254" s="4">
        <v>5</v>
      </c>
      <c r="D1254" s="8">
        <v>1.76</v>
      </c>
      <c r="E1254" s="4">
        <v>4</v>
      </c>
      <c r="F1254" s="8">
        <v>2.5499999999999998</v>
      </c>
      <c r="G1254" s="4">
        <v>1</v>
      </c>
      <c r="H1254" s="8">
        <v>0.8</v>
      </c>
      <c r="I1254" s="4">
        <v>0</v>
      </c>
    </row>
    <row r="1255" spans="1:9" x14ac:dyDescent="0.15">
      <c r="A1255" s="2">
        <v>13</v>
      </c>
      <c r="B1255" s="1" t="s">
        <v>170</v>
      </c>
      <c r="C1255" s="4">
        <v>5</v>
      </c>
      <c r="D1255" s="8">
        <v>1.76</v>
      </c>
      <c r="E1255" s="4">
        <v>5</v>
      </c>
      <c r="F1255" s="8">
        <v>3.18</v>
      </c>
      <c r="G1255" s="4">
        <v>0</v>
      </c>
      <c r="H1255" s="8">
        <v>0</v>
      </c>
      <c r="I1255" s="4">
        <v>0</v>
      </c>
    </row>
    <row r="1256" spans="1:9" x14ac:dyDescent="0.15">
      <c r="A1256" s="2">
        <v>16</v>
      </c>
      <c r="B1256" s="1" t="s">
        <v>160</v>
      </c>
      <c r="C1256" s="4">
        <v>4</v>
      </c>
      <c r="D1256" s="8">
        <v>1.41</v>
      </c>
      <c r="E1256" s="4">
        <v>0</v>
      </c>
      <c r="F1256" s="8">
        <v>0</v>
      </c>
      <c r="G1256" s="4">
        <v>4</v>
      </c>
      <c r="H1256" s="8">
        <v>3.2</v>
      </c>
      <c r="I1256" s="4">
        <v>0</v>
      </c>
    </row>
    <row r="1257" spans="1:9" x14ac:dyDescent="0.15">
      <c r="A1257" s="2">
        <v>16</v>
      </c>
      <c r="B1257" s="1" t="s">
        <v>201</v>
      </c>
      <c r="C1257" s="4">
        <v>4</v>
      </c>
      <c r="D1257" s="8">
        <v>1.41</v>
      </c>
      <c r="E1257" s="4">
        <v>0</v>
      </c>
      <c r="F1257" s="8">
        <v>0</v>
      </c>
      <c r="G1257" s="4">
        <v>4</v>
      </c>
      <c r="H1257" s="8">
        <v>3.2</v>
      </c>
      <c r="I1257" s="4">
        <v>0</v>
      </c>
    </row>
    <row r="1258" spans="1:9" x14ac:dyDescent="0.15">
      <c r="A1258" s="2">
        <v>16</v>
      </c>
      <c r="B1258" s="1" t="s">
        <v>202</v>
      </c>
      <c r="C1258" s="4">
        <v>4</v>
      </c>
      <c r="D1258" s="8">
        <v>1.41</v>
      </c>
      <c r="E1258" s="4">
        <v>3</v>
      </c>
      <c r="F1258" s="8">
        <v>1.91</v>
      </c>
      <c r="G1258" s="4">
        <v>1</v>
      </c>
      <c r="H1258" s="8">
        <v>0.8</v>
      </c>
      <c r="I1258" s="4">
        <v>0</v>
      </c>
    </row>
    <row r="1259" spans="1:9" x14ac:dyDescent="0.15">
      <c r="A1259" s="2">
        <v>16</v>
      </c>
      <c r="B1259" s="1" t="s">
        <v>194</v>
      </c>
      <c r="C1259" s="4">
        <v>4</v>
      </c>
      <c r="D1259" s="8">
        <v>1.41</v>
      </c>
      <c r="E1259" s="4">
        <v>3</v>
      </c>
      <c r="F1259" s="8">
        <v>1.91</v>
      </c>
      <c r="G1259" s="4">
        <v>1</v>
      </c>
      <c r="H1259" s="8">
        <v>0.8</v>
      </c>
      <c r="I1259" s="4">
        <v>0</v>
      </c>
    </row>
    <row r="1260" spans="1:9" x14ac:dyDescent="0.15">
      <c r="A1260" s="2">
        <v>16</v>
      </c>
      <c r="B1260" s="1" t="s">
        <v>166</v>
      </c>
      <c r="C1260" s="4">
        <v>4</v>
      </c>
      <c r="D1260" s="8">
        <v>1.41</v>
      </c>
      <c r="E1260" s="4">
        <v>3</v>
      </c>
      <c r="F1260" s="8">
        <v>1.91</v>
      </c>
      <c r="G1260" s="4">
        <v>1</v>
      </c>
      <c r="H1260" s="8">
        <v>0.8</v>
      </c>
      <c r="I1260" s="4">
        <v>0</v>
      </c>
    </row>
    <row r="1261" spans="1:9" x14ac:dyDescent="0.15">
      <c r="A1261" s="2">
        <v>16</v>
      </c>
      <c r="B1261" s="1" t="s">
        <v>185</v>
      </c>
      <c r="C1261" s="4">
        <v>4</v>
      </c>
      <c r="D1261" s="8">
        <v>1.41</v>
      </c>
      <c r="E1261" s="4">
        <v>3</v>
      </c>
      <c r="F1261" s="8">
        <v>1.91</v>
      </c>
      <c r="G1261" s="4">
        <v>1</v>
      </c>
      <c r="H1261" s="8">
        <v>0.8</v>
      </c>
      <c r="I1261" s="4">
        <v>0</v>
      </c>
    </row>
    <row r="1262" spans="1:9" x14ac:dyDescent="0.15">
      <c r="A1262" s="2">
        <v>16</v>
      </c>
      <c r="B1262" s="1" t="s">
        <v>161</v>
      </c>
      <c r="C1262" s="4">
        <v>4</v>
      </c>
      <c r="D1262" s="8">
        <v>1.41</v>
      </c>
      <c r="E1262" s="4">
        <v>2</v>
      </c>
      <c r="F1262" s="8">
        <v>1.27</v>
      </c>
      <c r="G1262" s="4">
        <v>2</v>
      </c>
      <c r="H1262" s="8">
        <v>1.6</v>
      </c>
      <c r="I1262" s="4">
        <v>0</v>
      </c>
    </row>
    <row r="1263" spans="1:9" x14ac:dyDescent="0.15">
      <c r="A1263" s="2">
        <v>16</v>
      </c>
      <c r="B1263" s="1" t="s">
        <v>204</v>
      </c>
      <c r="C1263" s="4">
        <v>4</v>
      </c>
      <c r="D1263" s="8">
        <v>1.41</v>
      </c>
      <c r="E1263" s="4">
        <v>3</v>
      </c>
      <c r="F1263" s="8">
        <v>1.91</v>
      </c>
      <c r="G1263" s="4">
        <v>1</v>
      </c>
      <c r="H1263" s="8">
        <v>0.8</v>
      </c>
      <c r="I1263" s="4">
        <v>0</v>
      </c>
    </row>
    <row r="1264" spans="1:9" x14ac:dyDescent="0.15">
      <c r="A1264" s="2">
        <v>16</v>
      </c>
      <c r="B1264" s="1" t="s">
        <v>183</v>
      </c>
      <c r="C1264" s="4">
        <v>4</v>
      </c>
      <c r="D1264" s="8">
        <v>1.41</v>
      </c>
      <c r="E1264" s="4">
        <v>1</v>
      </c>
      <c r="F1264" s="8">
        <v>0.64</v>
      </c>
      <c r="G1264" s="4">
        <v>3</v>
      </c>
      <c r="H1264" s="8">
        <v>2.4</v>
      </c>
      <c r="I1264" s="4">
        <v>0</v>
      </c>
    </row>
    <row r="1265" spans="1:9" x14ac:dyDescent="0.15">
      <c r="A1265" s="2">
        <v>16</v>
      </c>
      <c r="B1265" s="1" t="s">
        <v>150</v>
      </c>
      <c r="C1265" s="4">
        <v>4</v>
      </c>
      <c r="D1265" s="8">
        <v>1.41</v>
      </c>
      <c r="E1265" s="4">
        <v>2</v>
      </c>
      <c r="F1265" s="8">
        <v>1.27</v>
      </c>
      <c r="G1265" s="4">
        <v>2</v>
      </c>
      <c r="H1265" s="8">
        <v>1.6</v>
      </c>
      <c r="I1265" s="4">
        <v>0</v>
      </c>
    </row>
    <row r="1266" spans="1:9" x14ac:dyDescent="0.15">
      <c r="A1266" s="1"/>
      <c r="C1266" s="4"/>
      <c r="D1266" s="8"/>
      <c r="E1266" s="4"/>
      <c r="F1266" s="8"/>
      <c r="G1266" s="4"/>
      <c r="H1266" s="8"/>
      <c r="I1266" s="4"/>
    </row>
    <row r="1267" spans="1:9" x14ac:dyDescent="0.15">
      <c r="A1267" s="1" t="s">
        <v>56</v>
      </c>
      <c r="C1267" s="4"/>
      <c r="D1267" s="8"/>
      <c r="E1267" s="4"/>
      <c r="F1267" s="8"/>
      <c r="G1267" s="4"/>
      <c r="H1267" s="8"/>
      <c r="I1267" s="4"/>
    </row>
    <row r="1268" spans="1:9" x14ac:dyDescent="0.15">
      <c r="A1268" s="2">
        <v>1</v>
      </c>
      <c r="B1268" s="1" t="s">
        <v>148</v>
      </c>
      <c r="C1268" s="4">
        <v>73</v>
      </c>
      <c r="D1268" s="8">
        <v>17.34</v>
      </c>
      <c r="E1268" s="4">
        <v>71</v>
      </c>
      <c r="F1268" s="8">
        <v>24.91</v>
      </c>
      <c r="G1268" s="4">
        <v>2</v>
      </c>
      <c r="H1268" s="8">
        <v>1.47</v>
      </c>
      <c r="I1268" s="4">
        <v>0</v>
      </c>
    </row>
    <row r="1269" spans="1:9" x14ac:dyDescent="0.15">
      <c r="A1269" s="2">
        <v>2</v>
      </c>
      <c r="B1269" s="1" t="s">
        <v>155</v>
      </c>
      <c r="C1269" s="4">
        <v>28</v>
      </c>
      <c r="D1269" s="8">
        <v>6.65</v>
      </c>
      <c r="E1269" s="4">
        <v>24</v>
      </c>
      <c r="F1269" s="8">
        <v>8.42</v>
      </c>
      <c r="G1269" s="4">
        <v>4</v>
      </c>
      <c r="H1269" s="8">
        <v>2.94</v>
      </c>
      <c r="I1269" s="4">
        <v>0</v>
      </c>
    </row>
    <row r="1270" spans="1:9" x14ac:dyDescent="0.15">
      <c r="A1270" s="2">
        <v>3</v>
      </c>
      <c r="B1270" s="1" t="s">
        <v>147</v>
      </c>
      <c r="C1270" s="4">
        <v>27</v>
      </c>
      <c r="D1270" s="8">
        <v>6.41</v>
      </c>
      <c r="E1270" s="4">
        <v>12</v>
      </c>
      <c r="F1270" s="8">
        <v>4.21</v>
      </c>
      <c r="G1270" s="4">
        <v>15</v>
      </c>
      <c r="H1270" s="8">
        <v>11.03</v>
      </c>
      <c r="I1270" s="4">
        <v>0</v>
      </c>
    </row>
    <row r="1271" spans="1:9" x14ac:dyDescent="0.15">
      <c r="A1271" s="2">
        <v>4</v>
      </c>
      <c r="B1271" s="1" t="s">
        <v>173</v>
      </c>
      <c r="C1271" s="4">
        <v>24</v>
      </c>
      <c r="D1271" s="8">
        <v>5.7</v>
      </c>
      <c r="E1271" s="4">
        <v>22</v>
      </c>
      <c r="F1271" s="8">
        <v>7.72</v>
      </c>
      <c r="G1271" s="4">
        <v>2</v>
      </c>
      <c r="H1271" s="8">
        <v>1.47</v>
      </c>
      <c r="I1271" s="4">
        <v>0</v>
      </c>
    </row>
    <row r="1272" spans="1:9" x14ac:dyDescent="0.15">
      <c r="A1272" s="2">
        <v>5</v>
      </c>
      <c r="B1272" s="1" t="s">
        <v>151</v>
      </c>
      <c r="C1272" s="4">
        <v>14</v>
      </c>
      <c r="D1272" s="8">
        <v>3.33</v>
      </c>
      <c r="E1272" s="4">
        <v>13</v>
      </c>
      <c r="F1272" s="8">
        <v>4.5599999999999996</v>
      </c>
      <c r="G1272" s="4">
        <v>1</v>
      </c>
      <c r="H1272" s="8">
        <v>0.74</v>
      </c>
      <c r="I1272" s="4">
        <v>0</v>
      </c>
    </row>
    <row r="1273" spans="1:9" x14ac:dyDescent="0.15">
      <c r="A1273" s="2">
        <v>6</v>
      </c>
      <c r="B1273" s="1" t="s">
        <v>156</v>
      </c>
      <c r="C1273" s="4">
        <v>12</v>
      </c>
      <c r="D1273" s="8">
        <v>2.85</v>
      </c>
      <c r="E1273" s="4">
        <v>8</v>
      </c>
      <c r="F1273" s="8">
        <v>2.81</v>
      </c>
      <c r="G1273" s="4">
        <v>4</v>
      </c>
      <c r="H1273" s="8">
        <v>2.94</v>
      </c>
      <c r="I1273" s="4">
        <v>0</v>
      </c>
    </row>
    <row r="1274" spans="1:9" x14ac:dyDescent="0.15">
      <c r="A1274" s="2">
        <v>7</v>
      </c>
      <c r="B1274" s="1" t="s">
        <v>157</v>
      </c>
      <c r="C1274" s="4">
        <v>10</v>
      </c>
      <c r="D1274" s="8">
        <v>2.38</v>
      </c>
      <c r="E1274" s="4">
        <v>8</v>
      </c>
      <c r="F1274" s="8">
        <v>2.81</v>
      </c>
      <c r="G1274" s="4">
        <v>2</v>
      </c>
      <c r="H1274" s="8">
        <v>1.47</v>
      </c>
      <c r="I1274" s="4">
        <v>0</v>
      </c>
    </row>
    <row r="1275" spans="1:9" x14ac:dyDescent="0.15">
      <c r="A1275" s="2">
        <v>8</v>
      </c>
      <c r="B1275" s="1" t="s">
        <v>174</v>
      </c>
      <c r="C1275" s="4">
        <v>8</v>
      </c>
      <c r="D1275" s="8">
        <v>1.9</v>
      </c>
      <c r="E1275" s="4">
        <v>6</v>
      </c>
      <c r="F1275" s="8">
        <v>2.11</v>
      </c>
      <c r="G1275" s="4">
        <v>2</v>
      </c>
      <c r="H1275" s="8">
        <v>1.47</v>
      </c>
      <c r="I1275" s="4">
        <v>0</v>
      </c>
    </row>
    <row r="1276" spans="1:9" x14ac:dyDescent="0.15">
      <c r="A1276" s="2">
        <v>8</v>
      </c>
      <c r="B1276" s="1" t="s">
        <v>144</v>
      </c>
      <c r="C1276" s="4">
        <v>8</v>
      </c>
      <c r="D1276" s="8">
        <v>1.9</v>
      </c>
      <c r="E1276" s="4">
        <v>2</v>
      </c>
      <c r="F1276" s="8">
        <v>0.7</v>
      </c>
      <c r="G1276" s="4">
        <v>6</v>
      </c>
      <c r="H1276" s="8">
        <v>4.41</v>
      </c>
      <c r="I1276" s="4">
        <v>0</v>
      </c>
    </row>
    <row r="1277" spans="1:9" x14ac:dyDescent="0.15">
      <c r="A1277" s="2">
        <v>8</v>
      </c>
      <c r="B1277" s="1" t="s">
        <v>152</v>
      </c>
      <c r="C1277" s="4">
        <v>8</v>
      </c>
      <c r="D1277" s="8">
        <v>1.9</v>
      </c>
      <c r="E1277" s="4">
        <v>8</v>
      </c>
      <c r="F1277" s="8">
        <v>2.81</v>
      </c>
      <c r="G1277" s="4">
        <v>0</v>
      </c>
      <c r="H1277" s="8">
        <v>0</v>
      </c>
      <c r="I1277" s="4">
        <v>0</v>
      </c>
    </row>
    <row r="1278" spans="1:9" x14ac:dyDescent="0.15">
      <c r="A1278" s="2">
        <v>8</v>
      </c>
      <c r="B1278" s="1" t="s">
        <v>154</v>
      </c>
      <c r="C1278" s="4">
        <v>8</v>
      </c>
      <c r="D1278" s="8">
        <v>1.9</v>
      </c>
      <c r="E1278" s="4">
        <v>8</v>
      </c>
      <c r="F1278" s="8">
        <v>2.81</v>
      </c>
      <c r="G1278" s="4">
        <v>0</v>
      </c>
      <c r="H1278" s="8">
        <v>0</v>
      </c>
      <c r="I1278" s="4">
        <v>0</v>
      </c>
    </row>
    <row r="1279" spans="1:9" x14ac:dyDescent="0.15">
      <c r="A1279" s="2">
        <v>12</v>
      </c>
      <c r="B1279" s="1" t="s">
        <v>138</v>
      </c>
      <c r="C1279" s="4">
        <v>7</v>
      </c>
      <c r="D1279" s="8">
        <v>1.66</v>
      </c>
      <c r="E1279" s="4">
        <v>3</v>
      </c>
      <c r="F1279" s="8">
        <v>1.05</v>
      </c>
      <c r="G1279" s="4">
        <v>4</v>
      </c>
      <c r="H1279" s="8">
        <v>2.94</v>
      </c>
      <c r="I1279" s="4">
        <v>0</v>
      </c>
    </row>
    <row r="1280" spans="1:9" x14ac:dyDescent="0.15">
      <c r="A1280" s="2">
        <v>12</v>
      </c>
      <c r="B1280" s="1" t="s">
        <v>139</v>
      </c>
      <c r="C1280" s="4">
        <v>7</v>
      </c>
      <c r="D1280" s="8">
        <v>1.66</v>
      </c>
      <c r="E1280" s="4">
        <v>2</v>
      </c>
      <c r="F1280" s="8">
        <v>0.7</v>
      </c>
      <c r="G1280" s="4">
        <v>5</v>
      </c>
      <c r="H1280" s="8">
        <v>3.68</v>
      </c>
      <c r="I1280" s="4">
        <v>0</v>
      </c>
    </row>
    <row r="1281" spans="1:9" x14ac:dyDescent="0.15">
      <c r="A1281" s="2">
        <v>12</v>
      </c>
      <c r="B1281" s="1" t="s">
        <v>141</v>
      </c>
      <c r="C1281" s="4">
        <v>7</v>
      </c>
      <c r="D1281" s="8">
        <v>1.66</v>
      </c>
      <c r="E1281" s="4">
        <v>1</v>
      </c>
      <c r="F1281" s="8">
        <v>0.35</v>
      </c>
      <c r="G1281" s="4">
        <v>6</v>
      </c>
      <c r="H1281" s="8">
        <v>4.41</v>
      </c>
      <c r="I1281" s="4">
        <v>0</v>
      </c>
    </row>
    <row r="1282" spans="1:9" x14ac:dyDescent="0.15">
      <c r="A1282" s="2">
        <v>12</v>
      </c>
      <c r="B1282" s="1" t="s">
        <v>150</v>
      </c>
      <c r="C1282" s="4">
        <v>7</v>
      </c>
      <c r="D1282" s="8">
        <v>1.66</v>
      </c>
      <c r="E1282" s="4">
        <v>5</v>
      </c>
      <c r="F1282" s="8">
        <v>1.75</v>
      </c>
      <c r="G1282" s="4">
        <v>2</v>
      </c>
      <c r="H1282" s="8">
        <v>1.47</v>
      </c>
      <c r="I1282" s="4">
        <v>0</v>
      </c>
    </row>
    <row r="1283" spans="1:9" x14ac:dyDescent="0.15">
      <c r="A1283" s="2">
        <v>12</v>
      </c>
      <c r="B1283" s="1" t="s">
        <v>175</v>
      </c>
      <c r="C1283" s="4">
        <v>7</v>
      </c>
      <c r="D1283" s="8">
        <v>1.66</v>
      </c>
      <c r="E1283" s="4">
        <v>5</v>
      </c>
      <c r="F1283" s="8">
        <v>1.75</v>
      </c>
      <c r="G1283" s="4">
        <v>2</v>
      </c>
      <c r="H1283" s="8">
        <v>1.47</v>
      </c>
      <c r="I1283" s="4">
        <v>0</v>
      </c>
    </row>
    <row r="1284" spans="1:9" x14ac:dyDescent="0.15">
      <c r="A1284" s="2">
        <v>17</v>
      </c>
      <c r="B1284" s="1" t="s">
        <v>166</v>
      </c>
      <c r="C1284" s="4">
        <v>6</v>
      </c>
      <c r="D1284" s="8">
        <v>1.43</v>
      </c>
      <c r="E1284" s="4">
        <v>6</v>
      </c>
      <c r="F1284" s="8">
        <v>2.11</v>
      </c>
      <c r="G1284" s="4">
        <v>0</v>
      </c>
      <c r="H1284" s="8">
        <v>0</v>
      </c>
      <c r="I1284" s="4">
        <v>0</v>
      </c>
    </row>
    <row r="1285" spans="1:9" x14ac:dyDescent="0.15">
      <c r="A1285" s="2">
        <v>17</v>
      </c>
      <c r="B1285" s="1" t="s">
        <v>143</v>
      </c>
      <c r="C1285" s="4">
        <v>6</v>
      </c>
      <c r="D1285" s="8">
        <v>1.43</v>
      </c>
      <c r="E1285" s="4">
        <v>3</v>
      </c>
      <c r="F1285" s="8">
        <v>1.05</v>
      </c>
      <c r="G1285" s="4">
        <v>3</v>
      </c>
      <c r="H1285" s="8">
        <v>2.21</v>
      </c>
      <c r="I1285" s="4">
        <v>0</v>
      </c>
    </row>
    <row r="1286" spans="1:9" x14ac:dyDescent="0.15">
      <c r="A1286" s="2">
        <v>17</v>
      </c>
      <c r="B1286" s="1" t="s">
        <v>145</v>
      </c>
      <c r="C1286" s="4">
        <v>6</v>
      </c>
      <c r="D1286" s="8">
        <v>1.43</v>
      </c>
      <c r="E1286" s="4">
        <v>4</v>
      </c>
      <c r="F1286" s="8">
        <v>1.4</v>
      </c>
      <c r="G1286" s="4">
        <v>2</v>
      </c>
      <c r="H1286" s="8">
        <v>1.47</v>
      </c>
      <c r="I1286" s="4">
        <v>0</v>
      </c>
    </row>
    <row r="1287" spans="1:9" x14ac:dyDescent="0.15">
      <c r="A1287" s="2">
        <v>17</v>
      </c>
      <c r="B1287" s="1" t="s">
        <v>146</v>
      </c>
      <c r="C1287" s="4">
        <v>6</v>
      </c>
      <c r="D1287" s="8">
        <v>1.43</v>
      </c>
      <c r="E1287" s="4">
        <v>3</v>
      </c>
      <c r="F1287" s="8">
        <v>1.05</v>
      </c>
      <c r="G1287" s="4">
        <v>3</v>
      </c>
      <c r="H1287" s="8">
        <v>2.21</v>
      </c>
      <c r="I1287" s="4">
        <v>0</v>
      </c>
    </row>
    <row r="1288" spans="1:9" x14ac:dyDescent="0.15">
      <c r="A1288" s="2">
        <v>17</v>
      </c>
      <c r="B1288" s="1" t="s">
        <v>153</v>
      </c>
      <c r="C1288" s="4">
        <v>6</v>
      </c>
      <c r="D1288" s="8">
        <v>1.43</v>
      </c>
      <c r="E1288" s="4">
        <v>2</v>
      </c>
      <c r="F1288" s="8">
        <v>0.7</v>
      </c>
      <c r="G1288" s="4">
        <v>4</v>
      </c>
      <c r="H1288" s="8">
        <v>2.94</v>
      </c>
      <c r="I1288" s="4">
        <v>0</v>
      </c>
    </row>
    <row r="1289" spans="1:9" x14ac:dyDescent="0.15">
      <c r="A1289" s="1"/>
      <c r="C1289" s="4"/>
      <c r="D1289" s="8"/>
      <c r="E1289" s="4"/>
      <c r="F1289" s="8"/>
      <c r="G1289" s="4"/>
      <c r="H1289" s="8"/>
      <c r="I1289" s="4"/>
    </row>
    <row r="1290" spans="1:9" x14ac:dyDescent="0.15">
      <c r="A1290" s="1" t="s">
        <v>57</v>
      </c>
      <c r="C1290" s="4"/>
      <c r="D1290" s="8"/>
      <c r="E1290" s="4"/>
      <c r="F1290" s="8"/>
      <c r="G1290" s="4"/>
      <c r="H1290" s="8"/>
      <c r="I1290" s="4"/>
    </row>
    <row r="1291" spans="1:9" x14ac:dyDescent="0.15">
      <c r="A1291" s="2">
        <v>1</v>
      </c>
      <c r="B1291" s="1" t="s">
        <v>204</v>
      </c>
      <c r="C1291" s="4">
        <v>92</v>
      </c>
      <c r="D1291" s="8">
        <v>12.07</v>
      </c>
      <c r="E1291" s="4">
        <v>2</v>
      </c>
      <c r="F1291" s="8">
        <v>0.66</v>
      </c>
      <c r="G1291" s="4">
        <v>90</v>
      </c>
      <c r="H1291" s="8">
        <v>19.96</v>
      </c>
      <c r="I1291" s="4">
        <v>0</v>
      </c>
    </row>
    <row r="1292" spans="1:9" x14ac:dyDescent="0.15">
      <c r="A1292" s="2">
        <v>2</v>
      </c>
      <c r="B1292" s="1" t="s">
        <v>187</v>
      </c>
      <c r="C1292" s="4">
        <v>56</v>
      </c>
      <c r="D1292" s="8">
        <v>7.35</v>
      </c>
      <c r="E1292" s="4">
        <v>26</v>
      </c>
      <c r="F1292" s="8">
        <v>8.52</v>
      </c>
      <c r="G1292" s="4">
        <v>30</v>
      </c>
      <c r="H1292" s="8">
        <v>6.65</v>
      </c>
      <c r="I1292" s="4">
        <v>0</v>
      </c>
    </row>
    <row r="1293" spans="1:9" x14ac:dyDescent="0.15">
      <c r="A1293" s="2">
        <v>3</v>
      </c>
      <c r="B1293" s="1" t="s">
        <v>145</v>
      </c>
      <c r="C1293" s="4">
        <v>44</v>
      </c>
      <c r="D1293" s="8">
        <v>5.77</v>
      </c>
      <c r="E1293" s="4">
        <v>22</v>
      </c>
      <c r="F1293" s="8">
        <v>7.21</v>
      </c>
      <c r="G1293" s="4">
        <v>22</v>
      </c>
      <c r="H1293" s="8">
        <v>4.88</v>
      </c>
      <c r="I1293" s="4">
        <v>0</v>
      </c>
    </row>
    <row r="1294" spans="1:9" x14ac:dyDescent="0.15">
      <c r="A1294" s="2">
        <v>4</v>
      </c>
      <c r="B1294" s="1" t="s">
        <v>149</v>
      </c>
      <c r="C1294" s="4">
        <v>37</v>
      </c>
      <c r="D1294" s="8">
        <v>4.8600000000000003</v>
      </c>
      <c r="E1294" s="4">
        <v>0</v>
      </c>
      <c r="F1294" s="8">
        <v>0</v>
      </c>
      <c r="G1294" s="4">
        <v>36</v>
      </c>
      <c r="H1294" s="8">
        <v>7.98</v>
      </c>
      <c r="I1294" s="4">
        <v>1</v>
      </c>
    </row>
    <row r="1295" spans="1:9" x14ac:dyDescent="0.15">
      <c r="A1295" s="2">
        <v>5</v>
      </c>
      <c r="B1295" s="1" t="s">
        <v>183</v>
      </c>
      <c r="C1295" s="4">
        <v>35</v>
      </c>
      <c r="D1295" s="8">
        <v>4.59</v>
      </c>
      <c r="E1295" s="4">
        <v>13</v>
      </c>
      <c r="F1295" s="8">
        <v>4.26</v>
      </c>
      <c r="G1295" s="4">
        <v>22</v>
      </c>
      <c r="H1295" s="8">
        <v>4.88</v>
      </c>
      <c r="I1295" s="4">
        <v>0</v>
      </c>
    </row>
    <row r="1296" spans="1:9" x14ac:dyDescent="0.15">
      <c r="A1296" s="2">
        <v>6</v>
      </c>
      <c r="B1296" s="1" t="s">
        <v>150</v>
      </c>
      <c r="C1296" s="4">
        <v>32</v>
      </c>
      <c r="D1296" s="8">
        <v>4.2</v>
      </c>
      <c r="E1296" s="4">
        <v>20</v>
      </c>
      <c r="F1296" s="8">
        <v>6.56</v>
      </c>
      <c r="G1296" s="4">
        <v>12</v>
      </c>
      <c r="H1296" s="8">
        <v>2.66</v>
      </c>
      <c r="I1296" s="4">
        <v>0</v>
      </c>
    </row>
    <row r="1297" spans="1:9" x14ac:dyDescent="0.15">
      <c r="A1297" s="2">
        <v>7</v>
      </c>
      <c r="B1297" s="1" t="s">
        <v>148</v>
      </c>
      <c r="C1297" s="4">
        <v>26</v>
      </c>
      <c r="D1297" s="8">
        <v>3.41</v>
      </c>
      <c r="E1297" s="4">
        <v>22</v>
      </c>
      <c r="F1297" s="8">
        <v>7.21</v>
      </c>
      <c r="G1297" s="4">
        <v>4</v>
      </c>
      <c r="H1297" s="8">
        <v>0.89</v>
      </c>
      <c r="I1297" s="4">
        <v>0</v>
      </c>
    </row>
    <row r="1298" spans="1:9" x14ac:dyDescent="0.15">
      <c r="A1298" s="2">
        <v>8</v>
      </c>
      <c r="B1298" s="1" t="s">
        <v>138</v>
      </c>
      <c r="C1298" s="4">
        <v>23</v>
      </c>
      <c r="D1298" s="8">
        <v>3.02</v>
      </c>
      <c r="E1298" s="4">
        <v>3</v>
      </c>
      <c r="F1298" s="8">
        <v>0.98</v>
      </c>
      <c r="G1298" s="4">
        <v>20</v>
      </c>
      <c r="H1298" s="8">
        <v>4.43</v>
      </c>
      <c r="I1298" s="4">
        <v>0</v>
      </c>
    </row>
    <row r="1299" spans="1:9" x14ac:dyDescent="0.15">
      <c r="A1299" s="2">
        <v>9</v>
      </c>
      <c r="B1299" s="1" t="s">
        <v>166</v>
      </c>
      <c r="C1299" s="4">
        <v>19</v>
      </c>
      <c r="D1299" s="8">
        <v>2.4900000000000002</v>
      </c>
      <c r="E1299" s="4">
        <v>4</v>
      </c>
      <c r="F1299" s="8">
        <v>1.31</v>
      </c>
      <c r="G1299" s="4">
        <v>15</v>
      </c>
      <c r="H1299" s="8">
        <v>3.33</v>
      </c>
      <c r="I1299" s="4">
        <v>0</v>
      </c>
    </row>
    <row r="1300" spans="1:9" x14ac:dyDescent="0.15">
      <c r="A1300" s="2">
        <v>10</v>
      </c>
      <c r="B1300" s="1" t="s">
        <v>205</v>
      </c>
      <c r="C1300" s="4">
        <v>18</v>
      </c>
      <c r="D1300" s="8">
        <v>2.36</v>
      </c>
      <c r="E1300" s="4">
        <v>13</v>
      </c>
      <c r="F1300" s="8">
        <v>4.26</v>
      </c>
      <c r="G1300" s="4">
        <v>5</v>
      </c>
      <c r="H1300" s="8">
        <v>1.1100000000000001</v>
      </c>
      <c r="I1300" s="4">
        <v>0</v>
      </c>
    </row>
    <row r="1301" spans="1:9" x14ac:dyDescent="0.15">
      <c r="A1301" s="2">
        <v>11</v>
      </c>
      <c r="B1301" s="1" t="s">
        <v>143</v>
      </c>
      <c r="C1301" s="4">
        <v>16</v>
      </c>
      <c r="D1301" s="8">
        <v>2.1</v>
      </c>
      <c r="E1301" s="4">
        <v>7</v>
      </c>
      <c r="F1301" s="8">
        <v>2.2999999999999998</v>
      </c>
      <c r="G1301" s="4">
        <v>9</v>
      </c>
      <c r="H1301" s="8">
        <v>2</v>
      </c>
      <c r="I1301" s="4">
        <v>0</v>
      </c>
    </row>
    <row r="1302" spans="1:9" x14ac:dyDescent="0.15">
      <c r="A1302" s="2">
        <v>12</v>
      </c>
      <c r="B1302" s="1" t="s">
        <v>173</v>
      </c>
      <c r="C1302" s="4">
        <v>14</v>
      </c>
      <c r="D1302" s="8">
        <v>1.84</v>
      </c>
      <c r="E1302" s="4">
        <v>12</v>
      </c>
      <c r="F1302" s="8">
        <v>3.93</v>
      </c>
      <c r="G1302" s="4">
        <v>2</v>
      </c>
      <c r="H1302" s="8">
        <v>0.44</v>
      </c>
      <c r="I1302" s="4">
        <v>0</v>
      </c>
    </row>
    <row r="1303" spans="1:9" x14ac:dyDescent="0.15">
      <c r="A1303" s="2">
        <v>12</v>
      </c>
      <c r="B1303" s="1" t="s">
        <v>170</v>
      </c>
      <c r="C1303" s="4">
        <v>14</v>
      </c>
      <c r="D1303" s="8">
        <v>1.84</v>
      </c>
      <c r="E1303" s="4">
        <v>12</v>
      </c>
      <c r="F1303" s="8">
        <v>3.93</v>
      </c>
      <c r="G1303" s="4">
        <v>2</v>
      </c>
      <c r="H1303" s="8">
        <v>0.44</v>
      </c>
      <c r="I1303" s="4">
        <v>0</v>
      </c>
    </row>
    <row r="1304" spans="1:9" x14ac:dyDescent="0.15">
      <c r="A1304" s="2">
        <v>14</v>
      </c>
      <c r="B1304" s="1" t="s">
        <v>140</v>
      </c>
      <c r="C1304" s="4">
        <v>13</v>
      </c>
      <c r="D1304" s="8">
        <v>1.71</v>
      </c>
      <c r="E1304" s="4">
        <v>3</v>
      </c>
      <c r="F1304" s="8">
        <v>0.98</v>
      </c>
      <c r="G1304" s="4">
        <v>10</v>
      </c>
      <c r="H1304" s="8">
        <v>2.2200000000000002</v>
      </c>
      <c r="I1304" s="4">
        <v>0</v>
      </c>
    </row>
    <row r="1305" spans="1:9" x14ac:dyDescent="0.15">
      <c r="A1305" s="2">
        <v>15</v>
      </c>
      <c r="B1305" s="1" t="s">
        <v>151</v>
      </c>
      <c r="C1305" s="4">
        <v>12</v>
      </c>
      <c r="D1305" s="8">
        <v>1.57</v>
      </c>
      <c r="E1305" s="4">
        <v>12</v>
      </c>
      <c r="F1305" s="8">
        <v>3.93</v>
      </c>
      <c r="G1305" s="4">
        <v>0</v>
      </c>
      <c r="H1305" s="8">
        <v>0</v>
      </c>
      <c r="I1305" s="4">
        <v>0</v>
      </c>
    </row>
    <row r="1306" spans="1:9" x14ac:dyDescent="0.15">
      <c r="A1306" s="2">
        <v>15</v>
      </c>
      <c r="B1306" s="1" t="s">
        <v>155</v>
      </c>
      <c r="C1306" s="4">
        <v>12</v>
      </c>
      <c r="D1306" s="8">
        <v>1.57</v>
      </c>
      <c r="E1306" s="4">
        <v>12</v>
      </c>
      <c r="F1306" s="8">
        <v>3.93</v>
      </c>
      <c r="G1306" s="4">
        <v>0</v>
      </c>
      <c r="H1306" s="8">
        <v>0</v>
      </c>
      <c r="I1306" s="4">
        <v>0</v>
      </c>
    </row>
    <row r="1307" spans="1:9" x14ac:dyDescent="0.15">
      <c r="A1307" s="2">
        <v>17</v>
      </c>
      <c r="B1307" s="1" t="s">
        <v>139</v>
      </c>
      <c r="C1307" s="4">
        <v>11</v>
      </c>
      <c r="D1307" s="8">
        <v>1.44</v>
      </c>
      <c r="E1307" s="4">
        <v>0</v>
      </c>
      <c r="F1307" s="8">
        <v>0</v>
      </c>
      <c r="G1307" s="4">
        <v>11</v>
      </c>
      <c r="H1307" s="8">
        <v>2.44</v>
      </c>
      <c r="I1307" s="4">
        <v>0</v>
      </c>
    </row>
    <row r="1308" spans="1:9" x14ac:dyDescent="0.15">
      <c r="A1308" s="2">
        <v>17</v>
      </c>
      <c r="B1308" s="1" t="s">
        <v>200</v>
      </c>
      <c r="C1308" s="4">
        <v>11</v>
      </c>
      <c r="D1308" s="8">
        <v>1.44</v>
      </c>
      <c r="E1308" s="4">
        <v>0</v>
      </c>
      <c r="F1308" s="8">
        <v>0</v>
      </c>
      <c r="G1308" s="4">
        <v>11</v>
      </c>
      <c r="H1308" s="8">
        <v>2.44</v>
      </c>
      <c r="I1308" s="4">
        <v>0</v>
      </c>
    </row>
    <row r="1309" spans="1:9" x14ac:dyDescent="0.15">
      <c r="A1309" s="2">
        <v>17</v>
      </c>
      <c r="B1309" s="1" t="s">
        <v>154</v>
      </c>
      <c r="C1309" s="4">
        <v>11</v>
      </c>
      <c r="D1309" s="8">
        <v>1.44</v>
      </c>
      <c r="E1309" s="4">
        <v>10</v>
      </c>
      <c r="F1309" s="8">
        <v>3.28</v>
      </c>
      <c r="G1309" s="4">
        <v>1</v>
      </c>
      <c r="H1309" s="8">
        <v>0.22</v>
      </c>
      <c r="I1309" s="4">
        <v>0</v>
      </c>
    </row>
    <row r="1310" spans="1:9" x14ac:dyDescent="0.15">
      <c r="A1310" s="2">
        <v>20</v>
      </c>
      <c r="B1310" s="1" t="s">
        <v>141</v>
      </c>
      <c r="C1310" s="4">
        <v>10</v>
      </c>
      <c r="D1310" s="8">
        <v>1.31</v>
      </c>
      <c r="E1310" s="4">
        <v>4</v>
      </c>
      <c r="F1310" s="8">
        <v>1.31</v>
      </c>
      <c r="G1310" s="4">
        <v>6</v>
      </c>
      <c r="H1310" s="8">
        <v>1.33</v>
      </c>
      <c r="I1310" s="4">
        <v>0</v>
      </c>
    </row>
    <row r="1311" spans="1:9" x14ac:dyDescent="0.15">
      <c r="A1311" s="2">
        <v>20</v>
      </c>
      <c r="B1311" s="1" t="s">
        <v>152</v>
      </c>
      <c r="C1311" s="4">
        <v>10</v>
      </c>
      <c r="D1311" s="8">
        <v>1.31</v>
      </c>
      <c r="E1311" s="4">
        <v>10</v>
      </c>
      <c r="F1311" s="8">
        <v>3.28</v>
      </c>
      <c r="G1311" s="4">
        <v>0</v>
      </c>
      <c r="H1311" s="8">
        <v>0</v>
      </c>
      <c r="I1311" s="4">
        <v>0</v>
      </c>
    </row>
    <row r="1312" spans="1:9" x14ac:dyDescent="0.15">
      <c r="A1312" s="1"/>
      <c r="C1312" s="4"/>
      <c r="D1312" s="8"/>
      <c r="E1312" s="4"/>
      <c r="F1312" s="8"/>
      <c r="G1312" s="4"/>
      <c r="H1312" s="8"/>
      <c r="I1312" s="4"/>
    </row>
    <row r="1313" spans="1:9" x14ac:dyDescent="0.15">
      <c r="A1313" s="1" t="s">
        <v>58</v>
      </c>
      <c r="C1313" s="4"/>
      <c r="D1313" s="8"/>
      <c r="E1313" s="4"/>
      <c r="F1313" s="8"/>
      <c r="G1313" s="4"/>
      <c r="H1313" s="8"/>
      <c r="I1313" s="4"/>
    </row>
    <row r="1314" spans="1:9" x14ac:dyDescent="0.15">
      <c r="A1314" s="2">
        <v>1</v>
      </c>
      <c r="B1314" s="1" t="s">
        <v>187</v>
      </c>
      <c r="C1314" s="4">
        <v>14</v>
      </c>
      <c r="D1314" s="8">
        <v>6.51</v>
      </c>
      <c r="E1314" s="4">
        <v>12</v>
      </c>
      <c r="F1314" s="8">
        <v>9.3000000000000007</v>
      </c>
      <c r="G1314" s="4">
        <v>2</v>
      </c>
      <c r="H1314" s="8">
        <v>2.33</v>
      </c>
      <c r="I1314" s="4">
        <v>0</v>
      </c>
    </row>
    <row r="1315" spans="1:9" x14ac:dyDescent="0.15">
      <c r="A1315" s="2">
        <v>2</v>
      </c>
      <c r="B1315" s="1" t="s">
        <v>208</v>
      </c>
      <c r="C1315" s="4">
        <v>11</v>
      </c>
      <c r="D1315" s="8">
        <v>5.12</v>
      </c>
      <c r="E1315" s="4">
        <v>0</v>
      </c>
      <c r="F1315" s="8">
        <v>0</v>
      </c>
      <c r="G1315" s="4">
        <v>11</v>
      </c>
      <c r="H1315" s="8">
        <v>12.79</v>
      </c>
      <c r="I1315" s="4">
        <v>0</v>
      </c>
    </row>
    <row r="1316" spans="1:9" x14ac:dyDescent="0.15">
      <c r="A1316" s="2">
        <v>3</v>
      </c>
      <c r="B1316" s="1" t="s">
        <v>150</v>
      </c>
      <c r="C1316" s="4">
        <v>10</v>
      </c>
      <c r="D1316" s="8">
        <v>4.6500000000000004</v>
      </c>
      <c r="E1316" s="4">
        <v>9</v>
      </c>
      <c r="F1316" s="8">
        <v>6.98</v>
      </c>
      <c r="G1316" s="4">
        <v>1</v>
      </c>
      <c r="H1316" s="8">
        <v>1.1599999999999999</v>
      </c>
      <c r="I1316" s="4">
        <v>0</v>
      </c>
    </row>
    <row r="1317" spans="1:9" x14ac:dyDescent="0.15">
      <c r="A1317" s="2">
        <v>3</v>
      </c>
      <c r="B1317" s="1" t="s">
        <v>155</v>
      </c>
      <c r="C1317" s="4">
        <v>10</v>
      </c>
      <c r="D1317" s="8">
        <v>4.6500000000000004</v>
      </c>
      <c r="E1317" s="4">
        <v>10</v>
      </c>
      <c r="F1317" s="8">
        <v>7.75</v>
      </c>
      <c r="G1317" s="4">
        <v>0</v>
      </c>
      <c r="H1317" s="8">
        <v>0</v>
      </c>
      <c r="I1317" s="4">
        <v>0</v>
      </c>
    </row>
    <row r="1318" spans="1:9" x14ac:dyDescent="0.15">
      <c r="A1318" s="2">
        <v>5</v>
      </c>
      <c r="B1318" s="1" t="s">
        <v>145</v>
      </c>
      <c r="C1318" s="4">
        <v>8</v>
      </c>
      <c r="D1318" s="8">
        <v>3.72</v>
      </c>
      <c r="E1318" s="4">
        <v>8</v>
      </c>
      <c r="F1318" s="8">
        <v>6.2</v>
      </c>
      <c r="G1318" s="4">
        <v>0</v>
      </c>
      <c r="H1318" s="8">
        <v>0</v>
      </c>
      <c r="I1318" s="4">
        <v>0</v>
      </c>
    </row>
    <row r="1319" spans="1:9" x14ac:dyDescent="0.15">
      <c r="A1319" s="2">
        <v>5</v>
      </c>
      <c r="B1319" s="1" t="s">
        <v>148</v>
      </c>
      <c r="C1319" s="4">
        <v>8</v>
      </c>
      <c r="D1319" s="8">
        <v>3.72</v>
      </c>
      <c r="E1319" s="4">
        <v>8</v>
      </c>
      <c r="F1319" s="8">
        <v>6.2</v>
      </c>
      <c r="G1319" s="4">
        <v>0</v>
      </c>
      <c r="H1319" s="8">
        <v>0</v>
      </c>
      <c r="I1319" s="4">
        <v>0</v>
      </c>
    </row>
    <row r="1320" spans="1:9" x14ac:dyDescent="0.15">
      <c r="A1320" s="2">
        <v>7</v>
      </c>
      <c r="B1320" s="1" t="s">
        <v>138</v>
      </c>
      <c r="C1320" s="4">
        <v>7</v>
      </c>
      <c r="D1320" s="8">
        <v>3.26</v>
      </c>
      <c r="E1320" s="4">
        <v>1</v>
      </c>
      <c r="F1320" s="8">
        <v>0.78</v>
      </c>
      <c r="G1320" s="4">
        <v>6</v>
      </c>
      <c r="H1320" s="8">
        <v>6.98</v>
      </c>
      <c r="I1320" s="4">
        <v>0</v>
      </c>
    </row>
    <row r="1321" spans="1:9" x14ac:dyDescent="0.15">
      <c r="A1321" s="2">
        <v>7</v>
      </c>
      <c r="B1321" s="1" t="s">
        <v>173</v>
      </c>
      <c r="C1321" s="4">
        <v>7</v>
      </c>
      <c r="D1321" s="8">
        <v>3.26</v>
      </c>
      <c r="E1321" s="4">
        <v>7</v>
      </c>
      <c r="F1321" s="8">
        <v>5.43</v>
      </c>
      <c r="G1321" s="4">
        <v>0</v>
      </c>
      <c r="H1321" s="8">
        <v>0</v>
      </c>
      <c r="I1321" s="4">
        <v>0</v>
      </c>
    </row>
    <row r="1322" spans="1:9" x14ac:dyDescent="0.15">
      <c r="A1322" s="2">
        <v>7</v>
      </c>
      <c r="B1322" s="1" t="s">
        <v>154</v>
      </c>
      <c r="C1322" s="4">
        <v>7</v>
      </c>
      <c r="D1322" s="8">
        <v>3.26</v>
      </c>
      <c r="E1322" s="4">
        <v>7</v>
      </c>
      <c r="F1322" s="8">
        <v>5.43</v>
      </c>
      <c r="G1322" s="4">
        <v>0</v>
      </c>
      <c r="H1322" s="8">
        <v>0</v>
      </c>
      <c r="I1322" s="4">
        <v>0</v>
      </c>
    </row>
    <row r="1323" spans="1:9" x14ac:dyDescent="0.15">
      <c r="A1323" s="2">
        <v>10</v>
      </c>
      <c r="B1323" s="1" t="s">
        <v>206</v>
      </c>
      <c r="C1323" s="4">
        <v>4</v>
      </c>
      <c r="D1323" s="8">
        <v>1.86</v>
      </c>
      <c r="E1323" s="4">
        <v>0</v>
      </c>
      <c r="F1323" s="8">
        <v>0</v>
      </c>
      <c r="G1323" s="4">
        <v>4</v>
      </c>
      <c r="H1323" s="8">
        <v>4.6500000000000004</v>
      </c>
      <c r="I1323" s="4">
        <v>0</v>
      </c>
    </row>
    <row r="1324" spans="1:9" x14ac:dyDescent="0.15">
      <c r="A1324" s="2">
        <v>10</v>
      </c>
      <c r="B1324" s="1" t="s">
        <v>141</v>
      </c>
      <c r="C1324" s="4">
        <v>4</v>
      </c>
      <c r="D1324" s="8">
        <v>1.86</v>
      </c>
      <c r="E1324" s="4">
        <v>1</v>
      </c>
      <c r="F1324" s="8">
        <v>0.78</v>
      </c>
      <c r="G1324" s="4">
        <v>3</v>
      </c>
      <c r="H1324" s="8">
        <v>3.49</v>
      </c>
      <c r="I1324" s="4">
        <v>0</v>
      </c>
    </row>
    <row r="1325" spans="1:9" x14ac:dyDescent="0.15">
      <c r="A1325" s="2">
        <v>10</v>
      </c>
      <c r="B1325" s="1" t="s">
        <v>195</v>
      </c>
      <c r="C1325" s="4">
        <v>4</v>
      </c>
      <c r="D1325" s="8">
        <v>1.86</v>
      </c>
      <c r="E1325" s="4">
        <v>2</v>
      </c>
      <c r="F1325" s="8">
        <v>1.55</v>
      </c>
      <c r="G1325" s="4">
        <v>2</v>
      </c>
      <c r="H1325" s="8">
        <v>2.33</v>
      </c>
      <c r="I1325" s="4">
        <v>0</v>
      </c>
    </row>
    <row r="1326" spans="1:9" x14ac:dyDescent="0.15">
      <c r="A1326" s="2">
        <v>10</v>
      </c>
      <c r="B1326" s="1" t="s">
        <v>203</v>
      </c>
      <c r="C1326" s="4">
        <v>4</v>
      </c>
      <c r="D1326" s="8">
        <v>1.86</v>
      </c>
      <c r="E1326" s="4">
        <v>1</v>
      </c>
      <c r="F1326" s="8">
        <v>0.78</v>
      </c>
      <c r="G1326" s="4">
        <v>3</v>
      </c>
      <c r="H1326" s="8">
        <v>3.49</v>
      </c>
      <c r="I1326" s="4">
        <v>0</v>
      </c>
    </row>
    <row r="1327" spans="1:9" x14ac:dyDescent="0.15">
      <c r="A1327" s="2">
        <v>10</v>
      </c>
      <c r="B1327" s="1" t="s">
        <v>143</v>
      </c>
      <c r="C1327" s="4">
        <v>4</v>
      </c>
      <c r="D1327" s="8">
        <v>1.86</v>
      </c>
      <c r="E1327" s="4">
        <v>3</v>
      </c>
      <c r="F1327" s="8">
        <v>2.33</v>
      </c>
      <c r="G1327" s="4">
        <v>1</v>
      </c>
      <c r="H1327" s="8">
        <v>1.1599999999999999</v>
      </c>
      <c r="I1327" s="4">
        <v>0</v>
      </c>
    </row>
    <row r="1328" spans="1:9" x14ac:dyDescent="0.15">
      <c r="A1328" s="2">
        <v>10</v>
      </c>
      <c r="B1328" s="1" t="s">
        <v>161</v>
      </c>
      <c r="C1328" s="4">
        <v>4</v>
      </c>
      <c r="D1328" s="8">
        <v>1.86</v>
      </c>
      <c r="E1328" s="4">
        <v>3</v>
      </c>
      <c r="F1328" s="8">
        <v>2.33</v>
      </c>
      <c r="G1328" s="4">
        <v>1</v>
      </c>
      <c r="H1328" s="8">
        <v>1.1599999999999999</v>
      </c>
      <c r="I1328" s="4">
        <v>0</v>
      </c>
    </row>
    <row r="1329" spans="1:9" x14ac:dyDescent="0.15">
      <c r="A1329" s="2">
        <v>10</v>
      </c>
      <c r="B1329" s="1" t="s">
        <v>146</v>
      </c>
      <c r="C1329" s="4">
        <v>4</v>
      </c>
      <c r="D1329" s="8">
        <v>1.86</v>
      </c>
      <c r="E1329" s="4">
        <v>1</v>
      </c>
      <c r="F1329" s="8">
        <v>0.78</v>
      </c>
      <c r="G1329" s="4">
        <v>3</v>
      </c>
      <c r="H1329" s="8">
        <v>3.49</v>
      </c>
      <c r="I1329" s="4">
        <v>0</v>
      </c>
    </row>
    <row r="1330" spans="1:9" x14ac:dyDescent="0.15">
      <c r="A1330" s="2">
        <v>10</v>
      </c>
      <c r="B1330" s="1" t="s">
        <v>183</v>
      </c>
      <c r="C1330" s="4">
        <v>4</v>
      </c>
      <c r="D1330" s="8">
        <v>1.86</v>
      </c>
      <c r="E1330" s="4">
        <v>4</v>
      </c>
      <c r="F1330" s="8">
        <v>3.1</v>
      </c>
      <c r="G1330" s="4">
        <v>0</v>
      </c>
      <c r="H1330" s="8">
        <v>0</v>
      </c>
      <c r="I1330" s="4">
        <v>0</v>
      </c>
    </row>
    <row r="1331" spans="1:9" x14ac:dyDescent="0.15">
      <c r="A1331" s="2">
        <v>10</v>
      </c>
      <c r="B1331" s="1" t="s">
        <v>209</v>
      </c>
      <c r="C1331" s="4">
        <v>4</v>
      </c>
      <c r="D1331" s="8">
        <v>1.86</v>
      </c>
      <c r="E1331" s="4">
        <v>3</v>
      </c>
      <c r="F1331" s="8">
        <v>2.33</v>
      </c>
      <c r="G1331" s="4">
        <v>1</v>
      </c>
      <c r="H1331" s="8">
        <v>1.1599999999999999</v>
      </c>
      <c r="I1331" s="4">
        <v>0</v>
      </c>
    </row>
    <row r="1332" spans="1:9" x14ac:dyDescent="0.15">
      <c r="A1332" s="2">
        <v>19</v>
      </c>
      <c r="B1332" s="1" t="s">
        <v>174</v>
      </c>
      <c r="C1332" s="4">
        <v>3</v>
      </c>
      <c r="D1332" s="8">
        <v>1.4</v>
      </c>
      <c r="E1332" s="4">
        <v>0</v>
      </c>
      <c r="F1332" s="8">
        <v>0</v>
      </c>
      <c r="G1332" s="4">
        <v>3</v>
      </c>
      <c r="H1332" s="8">
        <v>3.49</v>
      </c>
      <c r="I1332" s="4">
        <v>0</v>
      </c>
    </row>
    <row r="1333" spans="1:9" x14ac:dyDescent="0.15">
      <c r="A1333" s="2">
        <v>19</v>
      </c>
      <c r="B1333" s="1" t="s">
        <v>207</v>
      </c>
      <c r="C1333" s="4">
        <v>3</v>
      </c>
      <c r="D1333" s="8">
        <v>1.4</v>
      </c>
      <c r="E1333" s="4">
        <v>1</v>
      </c>
      <c r="F1333" s="8">
        <v>0.78</v>
      </c>
      <c r="G1333" s="4">
        <v>2</v>
      </c>
      <c r="H1333" s="8">
        <v>2.33</v>
      </c>
      <c r="I1333" s="4">
        <v>0</v>
      </c>
    </row>
    <row r="1334" spans="1:9" x14ac:dyDescent="0.15">
      <c r="A1334" s="2">
        <v>19</v>
      </c>
      <c r="B1334" s="1" t="s">
        <v>149</v>
      </c>
      <c r="C1334" s="4">
        <v>3</v>
      </c>
      <c r="D1334" s="8">
        <v>1.4</v>
      </c>
      <c r="E1334" s="4">
        <v>1</v>
      </c>
      <c r="F1334" s="8">
        <v>0.78</v>
      </c>
      <c r="G1334" s="4">
        <v>2</v>
      </c>
      <c r="H1334" s="8">
        <v>2.33</v>
      </c>
      <c r="I1334" s="4">
        <v>0</v>
      </c>
    </row>
    <row r="1335" spans="1:9" x14ac:dyDescent="0.15">
      <c r="A1335" s="2">
        <v>19</v>
      </c>
      <c r="B1335" s="1" t="s">
        <v>152</v>
      </c>
      <c r="C1335" s="4">
        <v>3</v>
      </c>
      <c r="D1335" s="8">
        <v>1.4</v>
      </c>
      <c r="E1335" s="4">
        <v>3</v>
      </c>
      <c r="F1335" s="8">
        <v>2.33</v>
      </c>
      <c r="G1335" s="4">
        <v>0</v>
      </c>
      <c r="H1335" s="8">
        <v>0</v>
      </c>
      <c r="I1335" s="4">
        <v>0</v>
      </c>
    </row>
    <row r="1336" spans="1:9" x14ac:dyDescent="0.15">
      <c r="A1336" s="2">
        <v>19</v>
      </c>
      <c r="B1336" s="1" t="s">
        <v>153</v>
      </c>
      <c r="C1336" s="4">
        <v>3</v>
      </c>
      <c r="D1336" s="8">
        <v>1.4</v>
      </c>
      <c r="E1336" s="4">
        <v>3</v>
      </c>
      <c r="F1336" s="8">
        <v>2.33</v>
      </c>
      <c r="G1336" s="4">
        <v>0</v>
      </c>
      <c r="H1336" s="8">
        <v>0</v>
      </c>
      <c r="I1336" s="4">
        <v>0</v>
      </c>
    </row>
    <row r="1337" spans="1:9" x14ac:dyDescent="0.15">
      <c r="A1337" s="2">
        <v>19</v>
      </c>
      <c r="B1337" s="1" t="s">
        <v>188</v>
      </c>
      <c r="C1337" s="4">
        <v>3</v>
      </c>
      <c r="D1337" s="8">
        <v>1.4</v>
      </c>
      <c r="E1337" s="4">
        <v>0</v>
      </c>
      <c r="F1337" s="8">
        <v>0</v>
      </c>
      <c r="G1337" s="4">
        <v>3</v>
      </c>
      <c r="H1337" s="8">
        <v>3.49</v>
      </c>
      <c r="I1337" s="4">
        <v>0</v>
      </c>
    </row>
    <row r="1338" spans="1:9" x14ac:dyDescent="0.15">
      <c r="A1338" s="1"/>
      <c r="C1338" s="4"/>
      <c r="D1338" s="8"/>
      <c r="E1338" s="4"/>
      <c r="F1338" s="8"/>
      <c r="G1338" s="4"/>
      <c r="H1338" s="8"/>
      <c r="I1338" s="4"/>
    </row>
    <row r="1339" spans="1:9" x14ac:dyDescent="0.15">
      <c r="A1339" s="1" t="s">
        <v>59</v>
      </c>
      <c r="C1339" s="4"/>
      <c r="D1339" s="8"/>
      <c r="E1339" s="4"/>
      <c r="F1339" s="8"/>
      <c r="G1339" s="4"/>
      <c r="H1339" s="8"/>
      <c r="I1339" s="4"/>
    </row>
    <row r="1340" spans="1:9" x14ac:dyDescent="0.15">
      <c r="A1340" s="2">
        <v>1</v>
      </c>
      <c r="B1340" s="1" t="s">
        <v>148</v>
      </c>
      <c r="C1340" s="4">
        <v>65</v>
      </c>
      <c r="D1340" s="8">
        <v>7.91</v>
      </c>
      <c r="E1340" s="4">
        <v>54</v>
      </c>
      <c r="F1340" s="8">
        <v>10.69</v>
      </c>
      <c r="G1340" s="4">
        <v>11</v>
      </c>
      <c r="H1340" s="8">
        <v>3.47</v>
      </c>
      <c r="I1340" s="4">
        <v>0</v>
      </c>
    </row>
    <row r="1341" spans="1:9" x14ac:dyDescent="0.15">
      <c r="A1341" s="2">
        <v>2</v>
      </c>
      <c r="B1341" s="1" t="s">
        <v>155</v>
      </c>
      <c r="C1341" s="4">
        <v>43</v>
      </c>
      <c r="D1341" s="8">
        <v>5.23</v>
      </c>
      <c r="E1341" s="4">
        <v>36</v>
      </c>
      <c r="F1341" s="8">
        <v>7.13</v>
      </c>
      <c r="G1341" s="4">
        <v>7</v>
      </c>
      <c r="H1341" s="8">
        <v>2.21</v>
      </c>
      <c r="I1341" s="4">
        <v>0</v>
      </c>
    </row>
    <row r="1342" spans="1:9" x14ac:dyDescent="0.15">
      <c r="A1342" s="2">
        <v>3</v>
      </c>
      <c r="B1342" s="1" t="s">
        <v>152</v>
      </c>
      <c r="C1342" s="4">
        <v>36</v>
      </c>
      <c r="D1342" s="8">
        <v>4.38</v>
      </c>
      <c r="E1342" s="4">
        <v>36</v>
      </c>
      <c r="F1342" s="8">
        <v>7.13</v>
      </c>
      <c r="G1342" s="4">
        <v>0</v>
      </c>
      <c r="H1342" s="8">
        <v>0</v>
      </c>
      <c r="I1342" s="4">
        <v>0</v>
      </c>
    </row>
    <row r="1343" spans="1:9" x14ac:dyDescent="0.15">
      <c r="A1343" s="2">
        <v>4</v>
      </c>
      <c r="B1343" s="1" t="s">
        <v>150</v>
      </c>
      <c r="C1343" s="4">
        <v>31</v>
      </c>
      <c r="D1343" s="8">
        <v>3.77</v>
      </c>
      <c r="E1343" s="4">
        <v>26</v>
      </c>
      <c r="F1343" s="8">
        <v>5.15</v>
      </c>
      <c r="G1343" s="4">
        <v>5</v>
      </c>
      <c r="H1343" s="8">
        <v>1.58</v>
      </c>
      <c r="I1343" s="4">
        <v>0</v>
      </c>
    </row>
    <row r="1344" spans="1:9" x14ac:dyDescent="0.15">
      <c r="A1344" s="2">
        <v>5</v>
      </c>
      <c r="B1344" s="1" t="s">
        <v>187</v>
      </c>
      <c r="C1344" s="4">
        <v>23</v>
      </c>
      <c r="D1344" s="8">
        <v>2.8</v>
      </c>
      <c r="E1344" s="4">
        <v>17</v>
      </c>
      <c r="F1344" s="8">
        <v>3.37</v>
      </c>
      <c r="G1344" s="4">
        <v>6</v>
      </c>
      <c r="H1344" s="8">
        <v>1.89</v>
      </c>
      <c r="I1344" s="4">
        <v>0</v>
      </c>
    </row>
    <row r="1345" spans="1:9" x14ac:dyDescent="0.15">
      <c r="A1345" s="2">
        <v>6</v>
      </c>
      <c r="B1345" s="1" t="s">
        <v>166</v>
      </c>
      <c r="C1345" s="4">
        <v>22</v>
      </c>
      <c r="D1345" s="8">
        <v>2.68</v>
      </c>
      <c r="E1345" s="4">
        <v>17</v>
      </c>
      <c r="F1345" s="8">
        <v>3.37</v>
      </c>
      <c r="G1345" s="4">
        <v>5</v>
      </c>
      <c r="H1345" s="8">
        <v>1.58</v>
      </c>
      <c r="I1345" s="4">
        <v>0</v>
      </c>
    </row>
    <row r="1346" spans="1:9" x14ac:dyDescent="0.15">
      <c r="A1346" s="2">
        <v>6</v>
      </c>
      <c r="B1346" s="1" t="s">
        <v>154</v>
      </c>
      <c r="C1346" s="4">
        <v>22</v>
      </c>
      <c r="D1346" s="8">
        <v>2.68</v>
      </c>
      <c r="E1346" s="4">
        <v>22</v>
      </c>
      <c r="F1346" s="8">
        <v>4.3600000000000003</v>
      </c>
      <c r="G1346" s="4">
        <v>0</v>
      </c>
      <c r="H1346" s="8">
        <v>0</v>
      </c>
      <c r="I1346" s="4">
        <v>0</v>
      </c>
    </row>
    <row r="1347" spans="1:9" x14ac:dyDescent="0.15">
      <c r="A1347" s="2">
        <v>8</v>
      </c>
      <c r="B1347" s="1" t="s">
        <v>151</v>
      </c>
      <c r="C1347" s="4">
        <v>21</v>
      </c>
      <c r="D1347" s="8">
        <v>2.5499999999999998</v>
      </c>
      <c r="E1347" s="4">
        <v>19</v>
      </c>
      <c r="F1347" s="8">
        <v>3.76</v>
      </c>
      <c r="G1347" s="4">
        <v>2</v>
      </c>
      <c r="H1347" s="8">
        <v>0.63</v>
      </c>
      <c r="I1347" s="4">
        <v>0</v>
      </c>
    </row>
    <row r="1348" spans="1:9" x14ac:dyDescent="0.15">
      <c r="A1348" s="2">
        <v>9</v>
      </c>
      <c r="B1348" s="1" t="s">
        <v>157</v>
      </c>
      <c r="C1348" s="4">
        <v>19</v>
      </c>
      <c r="D1348" s="8">
        <v>2.31</v>
      </c>
      <c r="E1348" s="4">
        <v>19</v>
      </c>
      <c r="F1348" s="8">
        <v>3.76</v>
      </c>
      <c r="G1348" s="4">
        <v>0</v>
      </c>
      <c r="H1348" s="8">
        <v>0</v>
      </c>
      <c r="I1348" s="4">
        <v>0</v>
      </c>
    </row>
    <row r="1349" spans="1:9" x14ac:dyDescent="0.15">
      <c r="A1349" s="2">
        <v>10</v>
      </c>
      <c r="B1349" s="1" t="s">
        <v>143</v>
      </c>
      <c r="C1349" s="4">
        <v>18</v>
      </c>
      <c r="D1349" s="8">
        <v>2.19</v>
      </c>
      <c r="E1349" s="4">
        <v>13</v>
      </c>
      <c r="F1349" s="8">
        <v>2.57</v>
      </c>
      <c r="G1349" s="4">
        <v>5</v>
      </c>
      <c r="H1349" s="8">
        <v>1.58</v>
      </c>
      <c r="I1349" s="4">
        <v>0</v>
      </c>
    </row>
    <row r="1350" spans="1:9" x14ac:dyDescent="0.15">
      <c r="A1350" s="2">
        <v>10</v>
      </c>
      <c r="B1350" s="1" t="s">
        <v>145</v>
      </c>
      <c r="C1350" s="4">
        <v>18</v>
      </c>
      <c r="D1350" s="8">
        <v>2.19</v>
      </c>
      <c r="E1350" s="4">
        <v>9</v>
      </c>
      <c r="F1350" s="8">
        <v>1.78</v>
      </c>
      <c r="G1350" s="4">
        <v>9</v>
      </c>
      <c r="H1350" s="8">
        <v>2.84</v>
      </c>
      <c r="I1350" s="4">
        <v>0</v>
      </c>
    </row>
    <row r="1351" spans="1:9" x14ac:dyDescent="0.15">
      <c r="A1351" s="2">
        <v>12</v>
      </c>
      <c r="B1351" s="1" t="s">
        <v>142</v>
      </c>
      <c r="C1351" s="4">
        <v>16</v>
      </c>
      <c r="D1351" s="8">
        <v>1.95</v>
      </c>
      <c r="E1351" s="4">
        <v>13</v>
      </c>
      <c r="F1351" s="8">
        <v>2.57</v>
      </c>
      <c r="G1351" s="4">
        <v>3</v>
      </c>
      <c r="H1351" s="8">
        <v>0.95</v>
      </c>
      <c r="I1351" s="4">
        <v>0</v>
      </c>
    </row>
    <row r="1352" spans="1:9" x14ac:dyDescent="0.15">
      <c r="A1352" s="2">
        <v>12</v>
      </c>
      <c r="B1352" s="1" t="s">
        <v>170</v>
      </c>
      <c r="C1352" s="4">
        <v>16</v>
      </c>
      <c r="D1352" s="8">
        <v>1.95</v>
      </c>
      <c r="E1352" s="4">
        <v>13</v>
      </c>
      <c r="F1352" s="8">
        <v>2.57</v>
      </c>
      <c r="G1352" s="4">
        <v>3</v>
      </c>
      <c r="H1352" s="8">
        <v>0.95</v>
      </c>
      <c r="I1352" s="4">
        <v>0</v>
      </c>
    </row>
    <row r="1353" spans="1:9" x14ac:dyDescent="0.15">
      <c r="A1353" s="2">
        <v>14</v>
      </c>
      <c r="B1353" s="1" t="s">
        <v>138</v>
      </c>
      <c r="C1353" s="4">
        <v>15</v>
      </c>
      <c r="D1353" s="8">
        <v>1.82</v>
      </c>
      <c r="E1353" s="4">
        <v>1</v>
      </c>
      <c r="F1353" s="8">
        <v>0.2</v>
      </c>
      <c r="G1353" s="4">
        <v>14</v>
      </c>
      <c r="H1353" s="8">
        <v>4.42</v>
      </c>
      <c r="I1353" s="4">
        <v>0</v>
      </c>
    </row>
    <row r="1354" spans="1:9" x14ac:dyDescent="0.15">
      <c r="A1354" s="2">
        <v>14</v>
      </c>
      <c r="B1354" s="1" t="s">
        <v>140</v>
      </c>
      <c r="C1354" s="4">
        <v>15</v>
      </c>
      <c r="D1354" s="8">
        <v>1.82</v>
      </c>
      <c r="E1354" s="4">
        <v>5</v>
      </c>
      <c r="F1354" s="8">
        <v>0.99</v>
      </c>
      <c r="G1354" s="4">
        <v>10</v>
      </c>
      <c r="H1354" s="8">
        <v>3.15</v>
      </c>
      <c r="I1354" s="4">
        <v>0</v>
      </c>
    </row>
    <row r="1355" spans="1:9" x14ac:dyDescent="0.15">
      <c r="A1355" s="2">
        <v>16</v>
      </c>
      <c r="B1355" s="1" t="s">
        <v>141</v>
      </c>
      <c r="C1355" s="4">
        <v>14</v>
      </c>
      <c r="D1355" s="8">
        <v>1.7</v>
      </c>
      <c r="E1355" s="4">
        <v>5</v>
      </c>
      <c r="F1355" s="8">
        <v>0.99</v>
      </c>
      <c r="G1355" s="4">
        <v>9</v>
      </c>
      <c r="H1355" s="8">
        <v>2.84</v>
      </c>
      <c r="I1355" s="4">
        <v>0</v>
      </c>
    </row>
    <row r="1356" spans="1:9" x14ac:dyDescent="0.15">
      <c r="A1356" s="2">
        <v>17</v>
      </c>
      <c r="B1356" s="1" t="s">
        <v>146</v>
      </c>
      <c r="C1356" s="4">
        <v>13</v>
      </c>
      <c r="D1356" s="8">
        <v>1.58</v>
      </c>
      <c r="E1356" s="4">
        <v>1</v>
      </c>
      <c r="F1356" s="8">
        <v>0.2</v>
      </c>
      <c r="G1356" s="4">
        <v>12</v>
      </c>
      <c r="H1356" s="8">
        <v>3.79</v>
      </c>
      <c r="I1356" s="4">
        <v>0</v>
      </c>
    </row>
    <row r="1357" spans="1:9" x14ac:dyDescent="0.15">
      <c r="A1357" s="2">
        <v>17</v>
      </c>
      <c r="B1357" s="1" t="s">
        <v>183</v>
      </c>
      <c r="C1357" s="4">
        <v>13</v>
      </c>
      <c r="D1357" s="8">
        <v>1.58</v>
      </c>
      <c r="E1357" s="4">
        <v>11</v>
      </c>
      <c r="F1357" s="8">
        <v>2.1800000000000002</v>
      </c>
      <c r="G1357" s="4">
        <v>2</v>
      </c>
      <c r="H1357" s="8">
        <v>0.63</v>
      </c>
      <c r="I1357" s="4">
        <v>0</v>
      </c>
    </row>
    <row r="1358" spans="1:9" x14ac:dyDescent="0.15">
      <c r="A1358" s="2">
        <v>19</v>
      </c>
      <c r="B1358" s="1" t="s">
        <v>161</v>
      </c>
      <c r="C1358" s="4">
        <v>12</v>
      </c>
      <c r="D1358" s="8">
        <v>1.46</v>
      </c>
      <c r="E1358" s="4">
        <v>6</v>
      </c>
      <c r="F1358" s="8">
        <v>1.19</v>
      </c>
      <c r="G1358" s="4">
        <v>6</v>
      </c>
      <c r="H1358" s="8">
        <v>1.89</v>
      </c>
      <c r="I1358" s="4">
        <v>0</v>
      </c>
    </row>
    <row r="1359" spans="1:9" x14ac:dyDescent="0.15">
      <c r="A1359" s="2">
        <v>20</v>
      </c>
      <c r="B1359" s="1" t="s">
        <v>139</v>
      </c>
      <c r="C1359" s="4">
        <v>11</v>
      </c>
      <c r="D1359" s="8">
        <v>1.34</v>
      </c>
      <c r="E1359" s="4">
        <v>3</v>
      </c>
      <c r="F1359" s="8">
        <v>0.59</v>
      </c>
      <c r="G1359" s="4">
        <v>8</v>
      </c>
      <c r="H1359" s="8">
        <v>2.52</v>
      </c>
      <c r="I1359" s="4">
        <v>0</v>
      </c>
    </row>
    <row r="1360" spans="1:9" x14ac:dyDescent="0.15">
      <c r="A1360" s="2">
        <v>20</v>
      </c>
      <c r="B1360" s="1" t="s">
        <v>174</v>
      </c>
      <c r="C1360" s="4">
        <v>11</v>
      </c>
      <c r="D1360" s="8">
        <v>1.34</v>
      </c>
      <c r="E1360" s="4">
        <v>5</v>
      </c>
      <c r="F1360" s="8">
        <v>0.99</v>
      </c>
      <c r="G1360" s="4">
        <v>6</v>
      </c>
      <c r="H1360" s="8">
        <v>1.89</v>
      </c>
      <c r="I1360" s="4">
        <v>0</v>
      </c>
    </row>
    <row r="1361" spans="1:9" x14ac:dyDescent="0.15">
      <c r="A1361" s="2">
        <v>20</v>
      </c>
      <c r="B1361" s="1" t="s">
        <v>153</v>
      </c>
      <c r="C1361" s="4">
        <v>11</v>
      </c>
      <c r="D1361" s="8">
        <v>1.34</v>
      </c>
      <c r="E1361" s="4">
        <v>10</v>
      </c>
      <c r="F1361" s="8">
        <v>1.98</v>
      </c>
      <c r="G1361" s="4">
        <v>1</v>
      </c>
      <c r="H1361" s="8">
        <v>0.32</v>
      </c>
      <c r="I1361" s="4">
        <v>0</v>
      </c>
    </row>
    <row r="1362" spans="1:9" x14ac:dyDescent="0.15">
      <c r="A1362" s="1"/>
      <c r="C1362" s="4"/>
      <c r="D1362" s="8"/>
      <c r="E1362" s="4"/>
      <c r="F1362" s="8"/>
      <c r="G1362" s="4"/>
      <c r="H1362" s="8"/>
      <c r="I1362" s="4"/>
    </row>
    <row r="1363" spans="1:9" x14ac:dyDescent="0.15">
      <c r="A1363" s="1" t="s">
        <v>60</v>
      </c>
      <c r="C1363" s="4"/>
      <c r="D1363" s="8"/>
      <c r="E1363" s="4"/>
      <c r="F1363" s="8"/>
      <c r="G1363" s="4"/>
      <c r="H1363" s="8"/>
      <c r="I1363" s="4"/>
    </row>
    <row r="1364" spans="1:9" x14ac:dyDescent="0.15">
      <c r="A1364" s="2">
        <v>1</v>
      </c>
      <c r="B1364" s="1" t="s">
        <v>148</v>
      </c>
      <c r="C1364" s="4">
        <v>33</v>
      </c>
      <c r="D1364" s="8">
        <v>3.39</v>
      </c>
      <c r="E1364" s="4">
        <v>22</v>
      </c>
      <c r="F1364" s="8">
        <v>4.76</v>
      </c>
      <c r="G1364" s="4">
        <v>11</v>
      </c>
      <c r="H1364" s="8">
        <v>2.15</v>
      </c>
      <c r="I1364" s="4">
        <v>0</v>
      </c>
    </row>
    <row r="1365" spans="1:9" x14ac:dyDescent="0.15">
      <c r="A1365" s="2">
        <v>1</v>
      </c>
      <c r="B1365" s="1" t="s">
        <v>151</v>
      </c>
      <c r="C1365" s="4">
        <v>33</v>
      </c>
      <c r="D1365" s="8">
        <v>3.39</v>
      </c>
      <c r="E1365" s="4">
        <v>31</v>
      </c>
      <c r="F1365" s="8">
        <v>6.71</v>
      </c>
      <c r="G1365" s="4">
        <v>2</v>
      </c>
      <c r="H1365" s="8">
        <v>0.39</v>
      </c>
      <c r="I1365" s="4">
        <v>0</v>
      </c>
    </row>
    <row r="1366" spans="1:9" x14ac:dyDescent="0.15">
      <c r="A1366" s="2">
        <v>1</v>
      </c>
      <c r="B1366" s="1" t="s">
        <v>155</v>
      </c>
      <c r="C1366" s="4">
        <v>33</v>
      </c>
      <c r="D1366" s="8">
        <v>3.39</v>
      </c>
      <c r="E1366" s="4">
        <v>31</v>
      </c>
      <c r="F1366" s="8">
        <v>6.71</v>
      </c>
      <c r="G1366" s="4">
        <v>2</v>
      </c>
      <c r="H1366" s="8">
        <v>0.39</v>
      </c>
      <c r="I1366" s="4">
        <v>0</v>
      </c>
    </row>
    <row r="1367" spans="1:9" x14ac:dyDescent="0.15">
      <c r="A1367" s="2">
        <v>4</v>
      </c>
      <c r="B1367" s="1" t="s">
        <v>138</v>
      </c>
      <c r="C1367" s="4">
        <v>29</v>
      </c>
      <c r="D1367" s="8">
        <v>2.98</v>
      </c>
      <c r="E1367" s="4">
        <v>6</v>
      </c>
      <c r="F1367" s="8">
        <v>1.3</v>
      </c>
      <c r="G1367" s="4">
        <v>23</v>
      </c>
      <c r="H1367" s="8">
        <v>4.49</v>
      </c>
      <c r="I1367" s="4">
        <v>0</v>
      </c>
    </row>
    <row r="1368" spans="1:9" x14ac:dyDescent="0.15">
      <c r="A1368" s="2">
        <v>5</v>
      </c>
      <c r="B1368" s="1" t="s">
        <v>174</v>
      </c>
      <c r="C1368" s="4">
        <v>27</v>
      </c>
      <c r="D1368" s="8">
        <v>2.77</v>
      </c>
      <c r="E1368" s="4">
        <v>12</v>
      </c>
      <c r="F1368" s="8">
        <v>2.6</v>
      </c>
      <c r="G1368" s="4">
        <v>15</v>
      </c>
      <c r="H1368" s="8">
        <v>2.93</v>
      </c>
      <c r="I1368" s="4">
        <v>0</v>
      </c>
    </row>
    <row r="1369" spans="1:9" x14ac:dyDescent="0.15">
      <c r="A1369" s="2">
        <v>5</v>
      </c>
      <c r="B1369" s="1" t="s">
        <v>140</v>
      </c>
      <c r="C1369" s="4">
        <v>27</v>
      </c>
      <c r="D1369" s="8">
        <v>2.77</v>
      </c>
      <c r="E1369" s="4">
        <v>1</v>
      </c>
      <c r="F1369" s="8">
        <v>0.22</v>
      </c>
      <c r="G1369" s="4">
        <v>26</v>
      </c>
      <c r="H1369" s="8">
        <v>5.08</v>
      </c>
      <c r="I1369" s="4">
        <v>0</v>
      </c>
    </row>
    <row r="1370" spans="1:9" x14ac:dyDescent="0.15">
      <c r="A1370" s="2">
        <v>7</v>
      </c>
      <c r="B1370" s="1" t="s">
        <v>154</v>
      </c>
      <c r="C1370" s="4">
        <v>25</v>
      </c>
      <c r="D1370" s="8">
        <v>2.57</v>
      </c>
      <c r="E1370" s="4">
        <v>24</v>
      </c>
      <c r="F1370" s="8">
        <v>5.19</v>
      </c>
      <c r="G1370" s="4">
        <v>1</v>
      </c>
      <c r="H1370" s="8">
        <v>0.2</v>
      </c>
      <c r="I1370" s="4">
        <v>0</v>
      </c>
    </row>
    <row r="1371" spans="1:9" x14ac:dyDescent="0.15">
      <c r="A1371" s="2">
        <v>8</v>
      </c>
      <c r="B1371" s="1" t="s">
        <v>150</v>
      </c>
      <c r="C1371" s="4">
        <v>24</v>
      </c>
      <c r="D1371" s="8">
        <v>2.46</v>
      </c>
      <c r="E1371" s="4">
        <v>22</v>
      </c>
      <c r="F1371" s="8">
        <v>4.76</v>
      </c>
      <c r="G1371" s="4">
        <v>2</v>
      </c>
      <c r="H1371" s="8">
        <v>0.39</v>
      </c>
      <c r="I1371" s="4">
        <v>0</v>
      </c>
    </row>
    <row r="1372" spans="1:9" x14ac:dyDescent="0.15">
      <c r="A1372" s="2">
        <v>9</v>
      </c>
      <c r="B1372" s="1" t="s">
        <v>210</v>
      </c>
      <c r="C1372" s="4">
        <v>23</v>
      </c>
      <c r="D1372" s="8">
        <v>2.36</v>
      </c>
      <c r="E1372" s="4">
        <v>17</v>
      </c>
      <c r="F1372" s="8">
        <v>3.68</v>
      </c>
      <c r="G1372" s="4">
        <v>6</v>
      </c>
      <c r="H1372" s="8">
        <v>1.17</v>
      </c>
      <c r="I1372" s="4">
        <v>0</v>
      </c>
    </row>
    <row r="1373" spans="1:9" x14ac:dyDescent="0.15">
      <c r="A1373" s="2">
        <v>9</v>
      </c>
      <c r="B1373" s="1" t="s">
        <v>144</v>
      </c>
      <c r="C1373" s="4">
        <v>23</v>
      </c>
      <c r="D1373" s="8">
        <v>2.36</v>
      </c>
      <c r="E1373" s="4">
        <v>11</v>
      </c>
      <c r="F1373" s="8">
        <v>2.38</v>
      </c>
      <c r="G1373" s="4">
        <v>12</v>
      </c>
      <c r="H1373" s="8">
        <v>2.34</v>
      </c>
      <c r="I1373" s="4">
        <v>0</v>
      </c>
    </row>
    <row r="1374" spans="1:9" x14ac:dyDescent="0.15">
      <c r="A1374" s="2">
        <v>11</v>
      </c>
      <c r="B1374" s="1" t="s">
        <v>139</v>
      </c>
      <c r="C1374" s="4">
        <v>21</v>
      </c>
      <c r="D1374" s="8">
        <v>2.16</v>
      </c>
      <c r="E1374" s="4">
        <v>6</v>
      </c>
      <c r="F1374" s="8">
        <v>1.3</v>
      </c>
      <c r="G1374" s="4">
        <v>15</v>
      </c>
      <c r="H1374" s="8">
        <v>2.93</v>
      </c>
      <c r="I1374" s="4">
        <v>0</v>
      </c>
    </row>
    <row r="1375" spans="1:9" x14ac:dyDescent="0.15">
      <c r="A1375" s="2">
        <v>12</v>
      </c>
      <c r="B1375" s="1" t="s">
        <v>141</v>
      </c>
      <c r="C1375" s="4">
        <v>20</v>
      </c>
      <c r="D1375" s="8">
        <v>2.0499999999999998</v>
      </c>
      <c r="E1375" s="4">
        <v>5</v>
      </c>
      <c r="F1375" s="8">
        <v>1.08</v>
      </c>
      <c r="G1375" s="4">
        <v>15</v>
      </c>
      <c r="H1375" s="8">
        <v>2.93</v>
      </c>
      <c r="I1375" s="4">
        <v>0</v>
      </c>
    </row>
    <row r="1376" spans="1:9" x14ac:dyDescent="0.15">
      <c r="A1376" s="2">
        <v>13</v>
      </c>
      <c r="B1376" s="1" t="s">
        <v>179</v>
      </c>
      <c r="C1376" s="4">
        <v>19</v>
      </c>
      <c r="D1376" s="8">
        <v>1.95</v>
      </c>
      <c r="E1376" s="4">
        <v>14</v>
      </c>
      <c r="F1376" s="8">
        <v>3.03</v>
      </c>
      <c r="G1376" s="4">
        <v>5</v>
      </c>
      <c r="H1376" s="8">
        <v>0.98</v>
      </c>
      <c r="I1376" s="4">
        <v>0</v>
      </c>
    </row>
    <row r="1377" spans="1:9" x14ac:dyDescent="0.15">
      <c r="A1377" s="2">
        <v>13</v>
      </c>
      <c r="B1377" s="1" t="s">
        <v>145</v>
      </c>
      <c r="C1377" s="4">
        <v>19</v>
      </c>
      <c r="D1377" s="8">
        <v>1.95</v>
      </c>
      <c r="E1377" s="4">
        <v>10</v>
      </c>
      <c r="F1377" s="8">
        <v>2.16</v>
      </c>
      <c r="G1377" s="4">
        <v>9</v>
      </c>
      <c r="H1377" s="8">
        <v>1.76</v>
      </c>
      <c r="I1377" s="4">
        <v>0</v>
      </c>
    </row>
    <row r="1378" spans="1:9" x14ac:dyDescent="0.15">
      <c r="A1378" s="2">
        <v>13</v>
      </c>
      <c r="B1378" s="1" t="s">
        <v>156</v>
      </c>
      <c r="C1378" s="4">
        <v>19</v>
      </c>
      <c r="D1378" s="8">
        <v>1.95</v>
      </c>
      <c r="E1378" s="4">
        <v>14</v>
      </c>
      <c r="F1378" s="8">
        <v>3.03</v>
      </c>
      <c r="G1378" s="4">
        <v>5</v>
      </c>
      <c r="H1378" s="8">
        <v>0.98</v>
      </c>
      <c r="I1378" s="4">
        <v>0</v>
      </c>
    </row>
    <row r="1379" spans="1:9" x14ac:dyDescent="0.15">
      <c r="A1379" s="2">
        <v>16</v>
      </c>
      <c r="B1379" s="1" t="s">
        <v>176</v>
      </c>
      <c r="C1379" s="4">
        <v>18</v>
      </c>
      <c r="D1379" s="8">
        <v>1.85</v>
      </c>
      <c r="E1379" s="4">
        <v>4</v>
      </c>
      <c r="F1379" s="8">
        <v>0.87</v>
      </c>
      <c r="G1379" s="4">
        <v>14</v>
      </c>
      <c r="H1379" s="8">
        <v>2.73</v>
      </c>
      <c r="I1379" s="4">
        <v>0</v>
      </c>
    </row>
    <row r="1380" spans="1:9" x14ac:dyDescent="0.15">
      <c r="A1380" s="2">
        <v>16</v>
      </c>
      <c r="B1380" s="1" t="s">
        <v>152</v>
      </c>
      <c r="C1380" s="4">
        <v>18</v>
      </c>
      <c r="D1380" s="8">
        <v>1.85</v>
      </c>
      <c r="E1380" s="4">
        <v>16</v>
      </c>
      <c r="F1380" s="8">
        <v>3.46</v>
      </c>
      <c r="G1380" s="4">
        <v>2</v>
      </c>
      <c r="H1380" s="8">
        <v>0.39</v>
      </c>
      <c r="I1380" s="4">
        <v>0</v>
      </c>
    </row>
    <row r="1381" spans="1:9" x14ac:dyDescent="0.15">
      <c r="A1381" s="2">
        <v>18</v>
      </c>
      <c r="B1381" s="1" t="s">
        <v>147</v>
      </c>
      <c r="C1381" s="4">
        <v>16</v>
      </c>
      <c r="D1381" s="8">
        <v>1.64</v>
      </c>
      <c r="E1381" s="4">
        <v>3</v>
      </c>
      <c r="F1381" s="8">
        <v>0.65</v>
      </c>
      <c r="G1381" s="4">
        <v>13</v>
      </c>
      <c r="H1381" s="8">
        <v>2.54</v>
      </c>
      <c r="I1381" s="4">
        <v>0</v>
      </c>
    </row>
    <row r="1382" spans="1:9" x14ac:dyDescent="0.15">
      <c r="A1382" s="2">
        <v>18</v>
      </c>
      <c r="B1382" s="1" t="s">
        <v>181</v>
      </c>
      <c r="C1382" s="4">
        <v>16</v>
      </c>
      <c r="D1382" s="8">
        <v>1.64</v>
      </c>
      <c r="E1382" s="4">
        <v>8</v>
      </c>
      <c r="F1382" s="8">
        <v>1.73</v>
      </c>
      <c r="G1382" s="4">
        <v>8</v>
      </c>
      <c r="H1382" s="8">
        <v>1.56</v>
      </c>
      <c r="I1382" s="4">
        <v>0</v>
      </c>
    </row>
    <row r="1383" spans="1:9" x14ac:dyDescent="0.15">
      <c r="A1383" s="2">
        <v>20</v>
      </c>
      <c r="B1383" s="1" t="s">
        <v>143</v>
      </c>
      <c r="C1383" s="4">
        <v>15</v>
      </c>
      <c r="D1383" s="8">
        <v>1.54</v>
      </c>
      <c r="E1383" s="4">
        <v>9</v>
      </c>
      <c r="F1383" s="8">
        <v>1.95</v>
      </c>
      <c r="G1383" s="4">
        <v>6</v>
      </c>
      <c r="H1383" s="8">
        <v>1.17</v>
      </c>
      <c r="I1383" s="4">
        <v>0</v>
      </c>
    </row>
    <row r="1384" spans="1:9" x14ac:dyDescent="0.15">
      <c r="A1384" s="1"/>
      <c r="C1384" s="4"/>
      <c r="D1384" s="8"/>
      <c r="E1384" s="4"/>
      <c r="F1384" s="8"/>
      <c r="G1384" s="4"/>
      <c r="H1384" s="8"/>
      <c r="I1384" s="4"/>
    </row>
    <row r="1385" spans="1:9" x14ac:dyDescent="0.15">
      <c r="A1385" s="1" t="s">
        <v>61</v>
      </c>
      <c r="C1385" s="4"/>
      <c r="D1385" s="8"/>
      <c r="E1385" s="4"/>
      <c r="F1385" s="8"/>
      <c r="G1385" s="4"/>
      <c r="H1385" s="8"/>
      <c r="I1385" s="4"/>
    </row>
    <row r="1386" spans="1:9" x14ac:dyDescent="0.15">
      <c r="A1386" s="2">
        <v>1</v>
      </c>
      <c r="B1386" s="1" t="s">
        <v>145</v>
      </c>
      <c r="C1386" s="4">
        <v>5</v>
      </c>
      <c r="D1386" s="8">
        <v>5.95</v>
      </c>
      <c r="E1386" s="4">
        <v>3</v>
      </c>
      <c r="F1386" s="8">
        <v>7.32</v>
      </c>
      <c r="G1386" s="4">
        <v>2</v>
      </c>
      <c r="H1386" s="8">
        <v>4.76</v>
      </c>
      <c r="I1386" s="4">
        <v>0</v>
      </c>
    </row>
    <row r="1387" spans="1:9" x14ac:dyDescent="0.15">
      <c r="A1387" s="2">
        <v>1</v>
      </c>
      <c r="B1387" s="1" t="s">
        <v>183</v>
      </c>
      <c r="C1387" s="4">
        <v>5</v>
      </c>
      <c r="D1387" s="8">
        <v>5.95</v>
      </c>
      <c r="E1387" s="4">
        <v>4</v>
      </c>
      <c r="F1387" s="8">
        <v>9.76</v>
      </c>
      <c r="G1387" s="4">
        <v>1</v>
      </c>
      <c r="H1387" s="8">
        <v>2.38</v>
      </c>
      <c r="I1387" s="4">
        <v>0</v>
      </c>
    </row>
    <row r="1388" spans="1:9" x14ac:dyDescent="0.15">
      <c r="A1388" s="2">
        <v>3</v>
      </c>
      <c r="B1388" s="1" t="s">
        <v>174</v>
      </c>
      <c r="C1388" s="4">
        <v>4</v>
      </c>
      <c r="D1388" s="8">
        <v>4.76</v>
      </c>
      <c r="E1388" s="4">
        <v>1</v>
      </c>
      <c r="F1388" s="8">
        <v>2.44</v>
      </c>
      <c r="G1388" s="4">
        <v>3</v>
      </c>
      <c r="H1388" s="8">
        <v>7.14</v>
      </c>
      <c r="I1388" s="4">
        <v>0</v>
      </c>
    </row>
    <row r="1389" spans="1:9" x14ac:dyDescent="0.15">
      <c r="A1389" s="2">
        <v>3</v>
      </c>
      <c r="B1389" s="1" t="s">
        <v>170</v>
      </c>
      <c r="C1389" s="4">
        <v>4</v>
      </c>
      <c r="D1389" s="8">
        <v>4.76</v>
      </c>
      <c r="E1389" s="4">
        <v>3</v>
      </c>
      <c r="F1389" s="8">
        <v>7.32</v>
      </c>
      <c r="G1389" s="4">
        <v>1</v>
      </c>
      <c r="H1389" s="8">
        <v>2.38</v>
      </c>
      <c r="I1389" s="4">
        <v>0</v>
      </c>
    </row>
    <row r="1390" spans="1:9" x14ac:dyDescent="0.15">
      <c r="A1390" s="2">
        <v>3</v>
      </c>
      <c r="B1390" s="1" t="s">
        <v>156</v>
      </c>
      <c r="C1390" s="4">
        <v>4</v>
      </c>
      <c r="D1390" s="8">
        <v>4.76</v>
      </c>
      <c r="E1390" s="4">
        <v>3</v>
      </c>
      <c r="F1390" s="8">
        <v>7.32</v>
      </c>
      <c r="G1390" s="4">
        <v>1</v>
      </c>
      <c r="H1390" s="8">
        <v>2.38</v>
      </c>
      <c r="I1390" s="4">
        <v>0</v>
      </c>
    </row>
    <row r="1391" spans="1:9" x14ac:dyDescent="0.15">
      <c r="A1391" s="2">
        <v>6</v>
      </c>
      <c r="B1391" s="1" t="s">
        <v>138</v>
      </c>
      <c r="C1391" s="4">
        <v>3</v>
      </c>
      <c r="D1391" s="8">
        <v>3.57</v>
      </c>
      <c r="E1391" s="4">
        <v>0</v>
      </c>
      <c r="F1391" s="8">
        <v>0</v>
      </c>
      <c r="G1391" s="4">
        <v>3</v>
      </c>
      <c r="H1391" s="8">
        <v>7.14</v>
      </c>
      <c r="I1391" s="4">
        <v>0</v>
      </c>
    </row>
    <row r="1392" spans="1:9" x14ac:dyDescent="0.15">
      <c r="A1392" s="2">
        <v>6</v>
      </c>
      <c r="B1392" s="1" t="s">
        <v>139</v>
      </c>
      <c r="C1392" s="4">
        <v>3</v>
      </c>
      <c r="D1392" s="8">
        <v>3.57</v>
      </c>
      <c r="E1392" s="4">
        <v>1</v>
      </c>
      <c r="F1392" s="8">
        <v>2.44</v>
      </c>
      <c r="G1392" s="4">
        <v>2</v>
      </c>
      <c r="H1392" s="8">
        <v>4.76</v>
      </c>
      <c r="I1392" s="4">
        <v>0</v>
      </c>
    </row>
    <row r="1393" spans="1:9" x14ac:dyDescent="0.15">
      <c r="A1393" s="2">
        <v>6</v>
      </c>
      <c r="B1393" s="1" t="s">
        <v>140</v>
      </c>
      <c r="C1393" s="4">
        <v>3</v>
      </c>
      <c r="D1393" s="8">
        <v>3.57</v>
      </c>
      <c r="E1393" s="4">
        <v>0</v>
      </c>
      <c r="F1393" s="8">
        <v>0</v>
      </c>
      <c r="G1393" s="4">
        <v>3</v>
      </c>
      <c r="H1393" s="8">
        <v>7.14</v>
      </c>
      <c r="I1393" s="4">
        <v>0</v>
      </c>
    </row>
    <row r="1394" spans="1:9" x14ac:dyDescent="0.15">
      <c r="A1394" s="2">
        <v>6</v>
      </c>
      <c r="B1394" s="1" t="s">
        <v>211</v>
      </c>
      <c r="C1394" s="4">
        <v>3</v>
      </c>
      <c r="D1394" s="8">
        <v>3.57</v>
      </c>
      <c r="E1394" s="4">
        <v>3</v>
      </c>
      <c r="F1394" s="8">
        <v>7.32</v>
      </c>
      <c r="G1394" s="4">
        <v>0</v>
      </c>
      <c r="H1394" s="8">
        <v>0</v>
      </c>
      <c r="I1394" s="4">
        <v>0</v>
      </c>
    </row>
    <row r="1395" spans="1:9" x14ac:dyDescent="0.15">
      <c r="A1395" s="2">
        <v>10</v>
      </c>
      <c r="B1395" s="1" t="s">
        <v>179</v>
      </c>
      <c r="C1395" s="4">
        <v>2</v>
      </c>
      <c r="D1395" s="8">
        <v>2.38</v>
      </c>
      <c r="E1395" s="4">
        <v>1</v>
      </c>
      <c r="F1395" s="8">
        <v>2.44</v>
      </c>
      <c r="G1395" s="4">
        <v>1</v>
      </c>
      <c r="H1395" s="8">
        <v>2.38</v>
      </c>
      <c r="I1395" s="4">
        <v>0</v>
      </c>
    </row>
    <row r="1396" spans="1:9" x14ac:dyDescent="0.15">
      <c r="A1396" s="2">
        <v>10</v>
      </c>
      <c r="B1396" s="1" t="s">
        <v>166</v>
      </c>
      <c r="C1396" s="4">
        <v>2</v>
      </c>
      <c r="D1396" s="8">
        <v>2.38</v>
      </c>
      <c r="E1396" s="4">
        <v>2</v>
      </c>
      <c r="F1396" s="8">
        <v>4.88</v>
      </c>
      <c r="G1396" s="4">
        <v>0</v>
      </c>
      <c r="H1396" s="8">
        <v>0</v>
      </c>
      <c r="I1396" s="4">
        <v>0</v>
      </c>
    </row>
    <row r="1397" spans="1:9" x14ac:dyDescent="0.15">
      <c r="A1397" s="2">
        <v>10</v>
      </c>
      <c r="B1397" s="1" t="s">
        <v>192</v>
      </c>
      <c r="C1397" s="4">
        <v>2</v>
      </c>
      <c r="D1397" s="8">
        <v>2.38</v>
      </c>
      <c r="E1397" s="4">
        <v>1</v>
      </c>
      <c r="F1397" s="8">
        <v>2.44</v>
      </c>
      <c r="G1397" s="4">
        <v>1</v>
      </c>
      <c r="H1397" s="8">
        <v>2.38</v>
      </c>
      <c r="I1397" s="4">
        <v>0</v>
      </c>
    </row>
    <row r="1398" spans="1:9" x14ac:dyDescent="0.15">
      <c r="A1398" s="2">
        <v>10</v>
      </c>
      <c r="B1398" s="1" t="s">
        <v>148</v>
      </c>
      <c r="C1398" s="4">
        <v>2</v>
      </c>
      <c r="D1398" s="8">
        <v>2.38</v>
      </c>
      <c r="E1398" s="4">
        <v>0</v>
      </c>
      <c r="F1398" s="8">
        <v>0</v>
      </c>
      <c r="G1398" s="4">
        <v>2</v>
      </c>
      <c r="H1398" s="8">
        <v>4.76</v>
      </c>
      <c r="I1398" s="4">
        <v>0</v>
      </c>
    </row>
    <row r="1399" spans="1:9" x14ac:dyDescent="0.15">
      <c r="A1399" s="2">
        <v>10</v>
      </c>
      <c r="B1399" s="1" t="s">
        <v>204</v>
      </c>
      <c r="C1399" s="4">
        <v>2</v>
      </c>
      <c r="D1399" s="8">
        <v>2.38</v>
      </c>
      <c r="E1399" s="4">
        <v>2</v>
      </c>
      <c r="F1399" s="8">
        <v>4.88</v>
      </c>
      <c r="G1399" s="4">
        <v>0</v>
      </c>
      <c r="H1399" s="8">
        <v>0</v>
      </c>
      <c r="I1399" s="4">
        <v>0</v>
      </c>
    </row>
    <row r="1400" spans="1:9" x14ac:dyDescent="0.15">
      <c r="A1400" s="2">
        <v>10</v>
      </c>
      <c r="B1400" s="1" t="s">
        <v>150</v>
      </c>
      <c r="C1400" s="4">
        <v>2</v>
      </c>
      <c r="D1400" s="8">
        <v>2.38</v>
      </c>
      <c r="E1400" s="4">
        <v>1</v>
      </c>
      <c r="F1400" s="8">
        <v>2.44</v>
      </c>
      <c r="G1400" s="4">
        <v>1</v>
      </c>
      <c r="H1400" s="8">
        <v>2.38</v>
      </c>
      <c r="I1400" s="4">
        <v>0</v>
      </c>
    </row>
    <row r="1401" spans="1:9" x14ac:dyDescent="0.15">
      <c r="A1401" s="2">
        <v>10</v>
      </c>
      <c r="B1401" s="1" t="s">
        <v>153</v>
      </c>
      <c r="C1401" s="4">
        <v>2</v>
      </c>
      <c r="D1401" s="8">
        <v>2.38</v>
      </c>
      <c r="E1401" s="4">
        <v>1</v>
      </c>
      <c r="F1401" s="8">
        <v>2.44</v>
      </c>
      <c r="G1401" s="4">
        <v>1</v>
      </c>
      <c r="H1401" s="8">
        <v>2.38</v>
      </c>
      <c r="I1401" s="4">
        <v>0</v>
      </c>
    </row>
    <row r="1402" spans="1:9" x14ac:dyDescent="0.15">
      <c r="A1402" s="2">
        <v>10</v>
      </c>
      <c r="B1402" s="1" t="s">
        <v>188</v>
      </c>
      <c r="C1402" s="4">
        <v>2</v>
      </c>
      <c r="D1402" s="8">
        <v>2.38</v>
      </c>
      <c r="E1402" s="4">
        <v>1</v>
      </c>
      <c r="F1402" s="8">
        <v>2.44</v>
      </c>
      <c r="G1402" s="4">
        <v>1</v>
      </c>
      <c r="H1402" s="8">
        <v>2.38</v>
      </c>
      <c r="I1402" s="4">
        <v>0</v>
      </c>
    </row>
    <row r="1403" spans="1:9" x14ac:dyDescent="0.15">
      <c r="A1403" s="2">
        <v>10</v>
      </c>
      <c r="B1403" s="1" t="s">
        <v>157</v>
      </c>
      <c r="C1403" s="4">
        <v>2</v>
      </c>
      <c r="D1403" s="8">
        <v>2.38</v>
      </c>
      <c r="E1403" s="4">
        <v>2</v>
      </c>
      <c r="F1403" s="8">
        <v>4.88</v>
      </c>
      <c r="G1403" s="4">
        <v>0</v>
      </c>
      <c r="H1403" s="8">
        <v>0</v>
      </c>
      <c r="I1403" s="4">
        <v>0</v>
      </c>
    </row>
    <row r="1404" spans="1:9" x14ac:dyDescent="0.15">
      <c r="A1404" s="2">
        <v>10</v>
      </c>
      <c r="B1404" s="1" t="s">
        <v>212</v>
      </c>
      <c r="C1404" s="4">
        <v>2</v>
      </c>
      <c r="D1404" s="8">
        <v>2.38</v>
      </c>
      <c r="E1404" s="4">
        <v>2</v>
      </c>
      <c r="F1404" s="8">
        <v>4.88</v>
      </c>
      <c r="G1404" s="4">
        <v>0</v>
      </c>
      <c r="H1404" s="8">
        <v>0</v>
      </c>
      <c r="I1404" s="4">
        <v>0</v>
      </c>
    </row>
    <row r="1405" spans="1:9" x14ac:dyDescent="0.15">
      <c r="A1405" s="2">
        <v>10</v>
      </c>
      <c r="B1405" s="1" t="s">
        <v>181</v>
      </c>
      <c r="C1405" s="4">
        <v>2</v>
      </c>
      <c r="D1405" s="8">
        <v>2.38</v>
      </c>
      <c r="E1405" s="4">
        <v>1</v>
      </c>
      <c r="F1405" s="8">
        <v>2.44</v>
      </c>
      <c r="G1405" s="4">
        <v>1</v>
      </c>
      <c r="H1405" s="8">
        <v>2.38</v>
      </c>
      <c r="I1405" s="4">
        <v>0</v>
      </c>
    </row>
    <row r="1406" spans="1:9" x14ac:dyDescent="0.15">
      <c r="A1406" s="1"/>
      <c r="C1406" s="4"/>
      <c r="D1406" s="8"/>
      <c r="E1406" s="4"/>
      <c r="F1406" s="8"/>
      <c r="G1406" s="4"/>
      <c r="H1406" s="8"/>
      <c r="I140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9</v>
      </c>
      <c r="D5" s="8">
        <v>0.01</v>
      </c>
      <c r="E5" s="12">
        <v>0</v>
      </c>
      <c r="F5" s="8">
        <v>0</v>
      </c>
      <c r="G5" s="12">
        <v>9</v>
      </c>
      <c r="H5" s="8">
        <v>0.01</v>
      </c>
      <c r="I5" s="12">
        <v>0</v>
      </c>
    </row>
    <row r="6" spans="2:9" ht="15" customHeight="1" x14ac:dyDescent="0.15">
      <c r="B6" t="s">
        <v>63</v>
      </c>
      <c r="C6" s="12">
        <v>22802</v>
      </c>
      <c r="D6" s="8">
        <v>14.14</v>
      </c>
      <c r="E6" s="12">
        <v>4252</v>
      </c>
      <c r="F6" s="8">
        <v>5.81</v>
      </c>
      <c r="G6" s="12">
        <v>18546</v>
      </c>
      <c r="H6" s="8">
        <v>21.1</v>
      </c>
      <c r="I6" s="12">
        <v>4</v>
      </c>
    </row>
    <row r="7" spans="2:9" ht="15" customHeight="1" x14ac:dyDescent="0.15">
      <c r="B7" t="s">
        <v>64</v>
      </c>
      <c r="C7" s="12">
        <v>12097</v>
      </c>
      <c r="D7" s="8">
        <v>7.5</v>
      </c>
      <c r="E7" s="12">
        <v>2434</v>
      </c>
      <c r="F7" s="8">
        <v>3.33</v>
      </c>
      <c r="G7" s="12">
        <v>9660</v>
      </c>
      <c r="H7" s="8">
        <v>10.99</v>
      </c>
      <c r="I7" s="12">
        <v>3</v>
      </c>
    </row>
    <row r="8" spans="2:9" ht="15" customHeight="1" x14ac:dyDescent="0.15">
      <c r="B8" t="s">
        <v>65</v>
      </c>
      <c r="C8" s="12">
        <v>20</v>
      </c>
      <c r="D8" s="8">
        <v>0.01</v>
      </c>
      <c r="E8" s="12">
        <v>0</v>
      </c>
      <c r="F8" s="8">
        <v>0</v>
      </c>
      <c r="G8" s="12">
        <v>20</v>
      </c>
      <c r="H8" s="8">
        <v>0.02</v>
      </c>
      <c r="I8" s="12">
        <v>0</v>
      </c>
    </row>
    <row r="9" spans="2:9" ht="15" customHeight="1" x14ac:dyDescent="0.15">
      <c r="B9" t="s">
        <v>66</v>
      </c>
      <c r="C9" s="12">
        <v>1978</v>
      </c>
      <c r="D9" s="8">
        <v>1.23</v>
      </c>
      <c r="E9" s="12">
        <v>78</v>
      </c>
      <c r="F9" s="8">
        <v>0.11</v>
      </c>
      <c r="G9" s="12">
        <v>1888</v>
      </c>
      <c r="H9" s="8">
        <v>2.15</v>
      </c>
      <c r="I9" s="12">
        <v>12</v>
      </c>
    </row>
    <row r="10" spans="2:9" ht="15" customHeight="1" x14ac:dyDescent="0.15">
      <c r="B10" t="s">
        <v>67</v>
      </c>
      <c r="C10" s="12">
        <v>1974</v>
      </c>
      <c r="D10" s="8">
        <v>1.22</v>
      </c>
      <c r="E10" s="12">
        <v>576</v>
      </c>
      <c r="F10" s="8">
        <v>0.79</v>
      </c>
      <c r="G10" s="12">
        <v>1393</v>
      </c>
      <c r="H10" s="8">
        <v>1.58</v>
      </c>
      <c r="I10" s="12">
        <v>5</v>
      </c>
    </row>
    <row r="11" spans="2:9" ht="15" customHeight="1" x14ac:dyDescent="0.15">
      <c r="B11" t="s">
        <v>68</v>
      </c>
      <c r="C11" s="12">
        <v>33662</v>
      </c>
      <c r="D11" s="8">
        <v>20.87</v>
      </c>
      <c r="E11" s="12">
        <v>12440</v>
      </c>
      <c r="F11" s="8">
        <v>17</v>
      </c>
      <c r="G11" s="12">
        <v>21198</v>
      </c>
      <c r="H11" s="8">
        <v>24.12</v>
      </c>
      <c r="I11" s="12">
        <v>24</v>
      </c>
    </row>
    <row r="12" spans="2:9" ht="15" customHeight="1" x14ac:dyDescent="0.15">
      <c r="B12" t="s">
        <v>69</v>
      </c>
      <c r="C12" s="12">
        <v>941</v>
      </c>
      <c r="D12" s="8">
        <v>0.57999999999999996</v>
      </c>
      <c r="E12" s="12">
        <v>109</v>
      </c>
      <c r="F12" s="8">
        <v>0.15</v>
      </c>
      <c r="G12" s="12">
        <v>832</v>
      </c>
      <c r="H12" s="8">
        <v>0.95</v>
      </c>
      <c r="I12" s="12">
        <v>0</v>
      </c>
    </row>
    <row r="13" spans="2:9" ht="15" customHeight="1" x14ac:dyDescent="0.15">
      <c r="B13" t="s">
        <v>70</v>
      </c>
      <c r="C13" s="12">
        <v>22512</v>
      </c>
      <c r="D13" s="8">
        <v>13.96</v>
      </c>
      <c r="E13" s="12">
        <v>10746</v>
      </c>
      <c r="F13" s="8">
        <v>14.69</v>
      </c>
      <c r="G13" s="12">
        <v>11734</v>
      </c>
      <c r="H13" s="8">
        <v>13.35</v>
      </c>
      <c r="I13" s="12">
        <v>32</v>
      </c>
    </row>
    <row r="14" spans="2:9" ht="15" customHeight="1" x14ac:dyDescent="0.15">
      <c r="B14" t="s">
        <v>71</v>
      </c>
      <c r="C14" s="12">
        <v>8742</v>
      </c>
      <c r="D14" s="8">
        <v>5.42</v>
      </c>
      <c r="E14" s="12">
        <v>3895</v>
      </c>
      <c r="F14" s="8">
        <v>5.32</v>
      </c>
      <c r="G14" s="12">
        <v>4840</v>
      </c>
      <c r="H14" s="8">
        <v>5.51</v>
      </c>
      <c r="I14" s="12">
        <v>7</v>
      </c>
    </row>
    <row r="15" spans="2:9" ht="15" customHeight="1" x14ac:dyDescent="0.15">
      <c r="B15" t="s">
        <v>72</v>
      </c>
      <c r="C15" s="12">
        <v>19592</v>
      </c>
      <c r="D15" s="8">
        <v>12.15</v>
      </c>
      <c r="E15" s="12">
        <v>15092</v>
      </c>
      <c r="F15" s="8">
        <v>20.62</v>
      </c>
      <c r="G15" s="12">
        <v>4487</v>
      </c>
      <c r="H15" s="8">
        <v>5.1100000000000003</v>
      </c>
      <c r="I15" s="12">
        <v>13</v>
      </c>
    </row>
    <row r="16" spans="2:9" ht="15" customHeight="1" x14ac:dyDescent="0.15">
      <c r="B16" t="s">
        <v>73</v>
      </c>
      <c r="C16" s="12">
        <v>18020</v>
      </c>
      <c r="D16" s="8">
        <v>11.17</v>
      </c>
      <c r="E16" s="12">
        <v>12844</v>
      </c>
      <c r="F16" s="8">
        <v>17.55</v>
      </c>
      <c r="G16" s="12">
        <v>5167</v>
      </c>
      <c r="H16" s="8">
        <v>5.88</v>
      </c>
      <c r="I16" s="12">
        <v>9</v>
      </c>
    </row>
    <row r="17" spans="2:9" ht="15" customHeight="1" x14ac:dyDescent="0.15">
      <c r="B17" t="s">
        <v>74</v>
      </c>
      <c r="C17" s="12">
        <v>6076</v>
      </c>
      <c r="D17" s="8">
        <v>3.77</v>
      </c>
      <c r="E17" s="12">
        <v>4168</v>
      </c>
      <c r="F17" s="8">
        <v>5.7</v>
      </c>
      <c r="G17" s="12">
        <v>1890</v>
      </c>
      <c r="H17" s="8">
        <v>2.15</v>
      </c>
      <c r="I17" s="12">
        <v>18</v>
      </c>
    </row>
    <row r="18" spans="2:9" ht="15" customHeight="1" x14ac:dyDescent="0.15">
      <c r="B18" t="s">
        <v>75</v>
      </c>
      <c r="C18" s="12">
        <v>7967</v>
      </c>
      <c r="D18" s="8">
        <v>4.9400000000000004</v>
      </c>
      <c r="E18" s="12">
        <v>5335</v>
      </c>
      <c r="F18" s="8">
        <v>7.29</v>
      </c>
      <c r="G18" s="12">
        <v>2589</v>
      </c>
      <c r="H18" s="8">
        <v>2.95</v>
      </c>
      <c r="I18" s="12">
        <v>43</v>
      </c>
    </row>
    <row r="19" spans="2:9" ht="15" customHeight="1" x14ac:dyDescent="0.15">
      <c r="B19" t="s">
        <v>76</v>
      </c>
      <c r="C19" s="12">
        <v>4885</v>
      </c>
      <c r="D19" s="8">
        <v>3.03</v>
      </c>
      <c r="E19" s="12">
        <v>1207</v>
      </c>
      <c r="F19" s="8">
        <v>1.65</v>
      </c>
      <c r="G19" s="12">
        <v>3639</v>
      </c>
      <c r="H19" s="8">
        <v>4.1399999999999997</v>
      </c>
      <c r="I19" s="12">
        <v>39</v>
      </c>
    </row>
    <row r="20" spans="2:9" ht="15" customHeight="1" x14ac:dyDescent="0.15">
      <c r="B20" s="9" t="s">
        <v>216</v>
      </c>
      <c r="C20" s="12">
        <f>SUM(LTBL_14000[総数／事業所数])</f>
        <v>161277</v>
      </c>
      <c r="E20" s="12">
        <f>SUBTOTAL(109,LTBL_14000[個人／事業所数])</f>
        <v>73176</v>
      </c>
      <c r="G20" s="12">
        <f>SUBTOTAL(109,LTBL_14000[法人／事業所数])</f>
        <v>87892</v>
      </c>
      <c r="I20" s="12">
        <f>SUBTOTAL(109,LTBL_14000[法人以外の団体／事業所数])</f>
        <v>209</v>
      </c>
    </row>
    <row r="21" spans="2:9" ht="15" customHeight="1" x14ac:dyDescent="0.15">
      <c r="E21" s="11">
        <f>LTBL_14000[[#Totals],[個人／事業所数]]/LTBL_14000[[#Totals],[総数／事業所数]]</f>
        <v>0.4537286779888019</v>
      </c>
      <c r="G21" s="11">
        <f>LTBL_14000[[#Totals],[法人／事業所数]]/LTBL_14000[[#Totals],[総数／事業所数]]</f>
        <v>0.54497541496927648</v>
      </c>
      <c r="I21" s="11">
        <f>LTBL_14000[[#Totals],[法人以外の団体／事業所数]]/LTBL_14000[[#Totals],[総数／事業所数]]</f>
        <v>1.2959070419216628E-3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224</v>
      </c>
      <c r="I23" s="10" t="s">
        <v>84</v>
      </c>
    </row>
    <row r="24" spans="2:9" ht="15" customHeight="1" x14ac:dyDescent="0.15">
      <c r="B24" t="s">
        <v>218</v>
      </c>
      <c r="C24">
        <v>472</v>
      </c>
      <c r="D24" t="s">
        <v>217</v>
      </c>
      <c r="E24">
        <v>0</v>
      </c>
      <c r="F24" t="s">
        <v>219</v>
      </c>
      <c r="G24">
        <v>471</v>
      </c>
      <c r="H24" t="s">
        <v>220</v>
      </c>
      <c r="I24">
        <v>1</v>
      </c>
    </row>
    <row r="25" spans="2:9" ht="15" customHeight="1" x14ac:dyDescent="0.15">
      <c r="B25" t="s">
        <v>221</v>
      </c>
      <c r="C25">
        <v>12</v>
      </c>
      <c r="D25" t="s">
        <v>217</v>
      </c>
      <c r="E25">
        <v>0</v>
      </c>
      <c r="F25" t="s">
        <v>219</v>
      </c>
      <c r="G25">
        <v>12</v>
      </c>
      <c r="H25" t="s">
        <v>220</v>
      </c>
      <c r="I25">
        <v>0</v>
      </c>
    </row>
    <row r="28" spans="2:9" ht="33" customHeight="1" x14ac:dyDescent="0.15">
      <c r="B28" t="s">
        <v>225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18692</v>
      </c>
      <c r="D29" s="8">
        <v>11.59</v>
      </c>
      <c r="E29" s="12">
        <v>10446</v>
      </c>
      <c r="F29" s="8">
        <v>14.28</v>
      </c>
      <c r="G29" s="12">
        <v>8215</v>
      </c>
      <c r="H29" s="8">
        <v>9.35</v>
      </c>
      <c r="I29" s="12">
        <v>31</v>
      </c>
    </row>
    <row r="30" spans="2:9" ht="15" customHeight="1" x14ac:dyDescent="0.15">
      <c r="B30" t="s">
        <v>99</v>
      </c>
      <c r="C30" s="12">
        <v>17951</v>
      </c>
      <c r="D30" s="8">
        <v>11.13</v>
      </c>
      <c r="E30" s="12">
        <v>14690</v>
      </c>
      <c r="F30" s="8">
        <v>20.07</v>
      </c>
      <c r="G30" s="12">
        <v>3251</v>
      </c>
      <c r="H30" s="8">
        <v>3.7</v>
      </c>
      <c r="I30" s="12">
        <v>10</v>
      </c>
    </row>
    <row r="31" spans="2:9" ht="15" customHeight="1" x14ac:dyDescent="0.15">
      <c r="B31" t="s">
        <v>100</v>
      </c>
      <c r="C31" s="12">
        <v>14988</v>
      </c>
      <c r="D31" s="8">
        <v>9.2899999999999991</v>
      </c>
      <c r="E31" s="12">
        <v>11571</v>
      </c>
      <c r="F31" s="8">
        <v>15.81</v>
      </c>
      <c r="G31" s="12">
        <v>3414</v>
      </c>
      <c r="H31" s="8">
        <v>3.88</v>
      </c>
      <c r="I31" s="12">
        <v>3</v>
      </c>
    </row>
    <row r="32" spans="2:9" ht="15" customHeight="1" x14ac:dyDescent="0.15">
      <c r="B32" t="s">
        <v>94</v>
      </c>
      <c r="C32" s="12">
        <v>9693</v>
      </c>
      <c r="D32" s="8">
        <v>6.01</v>
      </c>
      <c r="E32" s="12">
        <v>4252</v>
      </c>
      <c r="F32" s="8">
        <v>5.81</v>
      </c>
      <c r="G32" s="12">
        <v>5436</v>
      </c>
      <c r="H32" s="8">
        <v>6.18</v>
      </c>
      <c r="I32" s="12">
        <v>5</v>
      </c>
    </row>
    <row r="33" spans="2:9" ht="15" customHeight="1" x14ac:dyDescent="0.15">
      <c r="B33" t="s">
        <v>85</v>
      </c>
      <c r="C33" s="12">
        <v>8760</v>
      </c>
      <c r="D33" s="8">
        <v>5.43</v>
      </c>
      <c r="E33" s="12">
        <v>1453</v>
      </c>
      <c r="F33" s="8">
        <v>1.99</v>
      </c>
      <c r="G33" s="12">
        <v>7305</v>
      </c>
      <c r="H33" s="8">
        <v>8.31</v>
      </c>
      <c r="I33" s="12">
        <v>2</v>
      </c>
    </row>
    <row r="34" spans="2:9" ht="15" customHeight="1" x14ac:dyDescent="0.15">
      <c r="B34" t="s">
        <v>86</v>
      </c>
      <c r="C34" s="12">
        <v>7880</v>
      </c>
      <c r="D34" s="8">
        <v>4.8899999999999997</v>
      </c>
      <c r="E34" s="12">
        <v>2116</v>
      </c>
      <c r="F34" s="8">
        <v>2.89</v>
      </c>
      <c r="G34" s="12">
        <v>5764</v>
      </c>
      <c r="H34" s="8">
        <v>6.56</v>
      </c>
      <c r="I34" s="12">
        <v>0</v>
      </c>
    </row>
    <row r="35" spans="2:9" ht="15" customHeight="1" x14ac:dyDescent="0.15">
      <c r="B35" t="s">
        <v>92</v>
      </c>
      <c r="C35" s="12">
        <v>7289</v>
      </c>
      <c r="D35" s="8">
        <v>4.5199999999999996</v>
      </c>
      <c r="E35" s="12">
        <v>3972</v>
      </c>
      <c r="F35" s="8">
        <v>5.43</v>
      </c>
      <c r="G35" s="12">
        <v>3307</v>
      </c>
      <c r="H35" s="8">
        <v>3.76</v>
      </c>
      <c r="I35" s="12">
        <v>10</v>
      </c>
    </row>
    <row r="36" spans="2:9" ht="15" customHeight="1" x14ac:dyDescent="0.15">
      <c r="B36" t="s">
        <v>103</v>
      </c>
      <c r="C36" s="12">
        <v>6278</v>
      </c>
      <c r="D36" s="8">
        <v>3.89</v>
      </c>
      <c r="E36" s="12">
        <v>5278</v>
      </c>
      <c r="F36" s="8">
        <v>7.21</v>
      </c>
      <c r="G36" s="12">
        <v>998</v>
      </c>
      <c r="H36" s="8">
        <v>1.1399999999999999</v>
      </c>
      <c r="I36" s="12">
        <v>2</v>
      </c>
    </row>
    <row r="37" spans="2:9" ht="15" customHeight="1" x14ac:dyDescent="0.15">
      <c r="B37" t="s">
        <v>87</v>
      </c>
      <c r="C37" s="12">
        <v>6162</v>
      </c>
      <c r="D37" s="8">
        <v>3.82</v>
      </c>
      <c r="E37" s="12">
        <v>683</v>
      </c>
      <c r="F37" s="8">
        <v>0.93</v>
      </c>
      <c r="G37" s="12">
        <v>5477</v>
      </c>
      <c r="H37" s="8">
        <v>6.23</v>
      </c>
      <c r="I37" s="12">
        <v>2</v>
      </c>
    </row>
    <row r="38" spans="2:9" ht="15" customHeight="1" x14ac:dyDescent="0.15">
      <c r="B38" t="s">
        <v>102</v>
      </c>
      <c r="C38" s="12">
        <v>6076</v>
      </c>
      <c r="D38" s="8">
        <v>3.77</v>
      </c>
      <c r="E38" s="12">
        <v>4168</v>
      </c>
      <c r="F38" s="8">
        <v>5.7</v>
      </c>
      <c r="G38" s="12">
        <v>1890</v>
      </c>
      <c r="H38" s="8">
        <v>2.15</v>
      </c>
      <c r="I38" s="12">
        <v>18</v>
      </c>
    </row>
    <row r="39" spans="2:9" ht="15" customHeight="1" x14ac:dyDescent="0.15">
      <c r="B39" t="s">
        <v>97</v>
      </c>
      <c r="C39" s="12">
        <v>4726</v>
      </c>
      <c r="D39" s="8">
        <v>2.93</v>
      </c>
      <c r="E39" s="12">
        <v>2796</v>
      </c>
      <c r="F39" s="8">
        <v>3.82</v>
      </c>
      <c r="G39" s="12">
        <v>1924</v>
      </c>
      <c r="H39" s="8">
        <v>2.19</v>
      </c>
      <c r="I39" s="12">
        <v>6</v>
      </c>
    </row>
    <row r="40" spans="2:9" ht="15" customHeight="1" x14ac:dyDescent="0.15">
      <c r="B40" t="s">
        <v>91</v>
      </c>
      <c r="C40" s="12">
        <v>4433</v>
      </c>
      <c r="D40" s="8">
        <v>2.75</v>
      </c>
      <c r="E40" s="12">
        <v>1692</v>
      </c>
      <c r="F40" s="8">
        <v>2.31</v>
      </c>
      <c r="G40" s="12">
        <v>2741</v>
      </c>
      <c r="H40" s="8">
        <v>3.12</v>
      </c>
      <c r="I40" s="12">
        <v>0</v>
      </c>
    </row>
    <row r="41" spans="2:9" ht="15" customHeight="1" x14ac:dyDescent="0.15">
      <c r="B41" t="s">
        <v>93</v>
      </c>
      <c r="C41" s="12">
        <v>3806</v>
      </c>
      <c r="D41" s="8">
        <v>2.36</v>
      </c>
      <c r="E41" s="12">
        <v>1433</v>
      </c>
      <c r="F41" s="8">
        <v>1.96</v>
      </c>
      <c r="G41" s="12">
        <v>2373</v>
      </c>
      <c r="H41" s="8">
        <v>2.7</v>
      </c>
      <c r="I41" s="12">
        <v>0</v>
      </c>
    </row>
    <row r="42" spans="2:9" ht="15" customHeight="1" x14ac:dyDescent="0.15">
      <c r="B42" t="s">
        <v>98</v>
      </c>
      <c r="C42" s="12">
        <v>3673</v>
      </c>
      <c r="D42" s="8">
        <v>2.2799999999999998</v>
      </c>
      <c r="E42" s="12">
        <v>1083</v>
      </c>
      <c r="F42" s="8">
        <v>1.48</v>
      </c>
      <c r="G42" s="12">
        <v>2590</v>
      </c>
      <c r="H42" s="8">
        <v>2.95</v>
      </c>
      <c r="I42" s="12">
        <v>0</v>
      </c>
    </row>
    <row r="43" spans="2:9" ht="15" customHeight="1" x14ac:dyDescent="0.15">
      <c r="B43" t="s">
        <v>95</v>
      </c>
      <c r="C43" s="12">
        <v>3336</v>
      </c>
      <c r="D43" s="8">
        <v>2.0699999999999998</v>
      </c>
      <c r="E43" s="12">
        <v>257</v>
      </c>
      <c r="F43" s="8">
        <v>0.35</v>
      </c>
      <c r="G43" s="12">
        <v>3079</v>
      </c>
      <c r="H43" s="8">
        <v>3.5</v>
      </c>
      <c r="I43" s="12">
        <v>0</v>
      </c>
    </row>
    <row r="44" spans="2:9" ht="15" customHeight="1" x14ac:dyDescent="0.15">
      <c r="B44" t="s">
        <v>88</v>
      </c>
      <c r="C44" s="12">
        <v>2129</v>
      </c>
      <c r="D44" s="8">
        <v>1.32</v>
      </c>
      <c r="E44" s="12">
        <v>411</v>
      </c>
      <c r="F44" s="8">
        <v>0.56000000000000005</v>
      </c>
      <c r="G44" s="12">
        <v>1718</v>
      </c>
      <c r="H44" s="8">
        <v>1.95</v>
      </c>
      <c r="I44" s="12">
        <v>0</v>
      </c>
    </row>
    <row r="45" spans="2:9" ht="15" customHeight="1" x14ac:dyDescent="0.15">
      <c r="B45" t="s">
        <v>90</v>
      </c>
      <c r="C45" s="12">
        <v>2107</v>
      </c>
      <c r="D45" s="8">
        <v>1.31</v>
      </c>
      <c r="E45" s="12">
        <v>117</v>
      </c>
      <c r="F45" s="8">
        <v>0.16</v>
      </c>
      <c r="G45" s="12">
        <v>1989</v>
      </c>
      <c r="H45" s="8">
        <v>2.2599999999999998</v>
      </c>
      <c r="I45" s="12">
        <v>1</v>
      </c>
    </row>
    <row r="46" spans="2:9" ht="15" customHeight="1" x14ac:dyDescent="0.15">
      <c r="B46" t="s">
        <v>101</v>
      </c>
      <c r="C46" s="12">
        <v>1867</v>
      </c>
      <c r="D46" s="8">
        <v>1.1599999999999999</v>
      </c>
      <c r="E46" s="12">
        <v>711</v>
      </c>
      <c r="F46" s="8">
        <v>0.97</v>
      </c>
      <c r="G46" s="12">
        <v>1154</v>
      </c>
      <c r="H46" s="8">
        <v>1.31</v>
      </c>
      <c r="I46" s="12">
        <v>2</v>
      </c>
    </row>
    <row r="47" spans="2:9" ht="15" customHeight="1" x14ac:dyDescent="0.15">
      <c r="B47" t="s">
        <v>104</v>
      </c>
      <c r="C47" s="12">
        <v>1820</v>
      </c>
      <c r="D47" s="8">
        <v>1.1299999999999999</v>
      </c>
      <c r="E47" s="12">
        <v>150</v>
      </c>
      <c r="F47" s="8">
        <v>0.2</v>
      </c>
      <c r="G47" s="12">
        <v>1651</v>
      </c>
      <c r="H47" s="8">
        <v>1.88</v>
      </c>
      <c r="I47" s="12">
        <v>19</v>
      </c>
    </row>
    <row r="48" spans="2:9" ht="15" customHeight="1" x14ac:dyDescent="0.15">
      <c r="B48" t="s">
        <v>89</v>
      </c>
      <c r="C48" s="12">
        <v>1795</v>
      </c>
      <c r="D48" s="8">
        <v>1.1100000000000001</v>
      </c>
      <c r="E48" s="12">
        <v>283</v>
      </c>
      <c r="F48" s="8">
        <v>0.39</v>
      </c>
      <c r="G48" s="12">
        <v>1512</v>
      </c>
      <c r="H48" s="8">
        <v>1.72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11146</v>
      </c>
      <c r="D52" s="8">
        <v>6.91</v>
      </c>
      <c r="E52" s="12">
        <v>8162</v>
      </c>
      <c r="F52" s="8">
        <v>11.15</v>
      </c>
      <c r="G52" s="12">
        <v>2982</v>
      </c>
      <c r="H52" s="8">
        <v>3.39</v>
      </c>
      <c r="I52" s="12">
        <v>2</v>
      </c>
    </row>
    <row r="53" spans="2:9" ht="15" customHeight="1" x14ac:dyDescent="0.15">
      <c r="B53" t="s">
        <v>155</v>
      </c>
      <c r="C53" s="12">
        <v>7093</v>
      </c>
      <c r="D53" s="8">
        <v>4.4000000000000004</v>
      </c>
      <c r="E53" s="12">
        <v>5760</v>
      </c>
      <c r="F53" s="8">
        <v>7.87</v>
      </c>
      <c r="G53" s="12">
        <v>1332</v>
      </c>
      <c r="H53" s="8">
        <v>1.52</v>
      </c>
      <c r="I53" s="12">
        <v>1</v>
      </c>
    </row>
    <row r="54" spans="2:9" ht="15" customHeight="1" x14ac:dyDescent="0.15">
      <c r="B54" t="s">
        <v>151</v>
      </c>
      <c r="C54" s="12">
        <v>4964</v>
      </c>
      <c r="D54" s="8">
        <v>3.08</v>
      </c>
      <c r="E54" s="12">
        <v>4406</v>
      </c>
      <c r="F54" s="8">
        <v>6.02</v>
      </c>
      <c r="G54" s="12">
        <v>557</v>
      </c>
      <c r="H54" s="8">
        <v>0.63</v>
      </c>
      <c r="I54" s="12">
        <v>1</v>
      </c>
    </row>
    <row r="55" spans="2:9" ht="15" customHeight="1" x14ac:dyDescent="0.15">
      <c r="B55" t="s">
        <v>150</v>
      </c>
      <c r="C55" s="12">
        <v>4611</v>
      </c>
      <c r="D55" s="8">
        <v>2.86</v>
      </c>
      <c r="E55" s="12">
        <v>3459</v>
      </c>
      <c r="F55" s="8">
        <v>4.7300000000000004</v>
      </c>
      <c r="G55" s="12">
        <v>1152</v>
      </c>
      <c r="H55" s="8">
        <v>1.31</v>
      </c>
      <c r="I55" s="12">
        <v>0</v>
      </c>
    </row>
    <row r="56" spans="2:9" ht="15" customHeight="1" x14ac:dyDescent="0.15">
      <c r="B56" t="s">
        <v>156</v>
      </c>
      <c r="C56" s="12">
        <v>4128</v>
      </c>
      <c r="D56" s="8">
        <v>2.56</v>
      </c>
      <c r="E56" s="12">
        <v>3072</v>
      </c>
      <c r="F56" s="8">
        <v>4.2</v>
      </c>
      <c r="G56" s="12">
        <v>1044</v>
      </c>
      <c r="H56" s="8">
        <v>1.19</v>
      </c>
      <c r="I56" s="12">
        <v>12</v>
      </c>
    </row>
    <row r="57" spans="2:9" ht="15" customHeight="1" x14ac:dyDescent="0.15">
      <c r="B57" t="s">
        <v>157</v>
      </c>
      <c r="C57" s="12">
        <v>4085</v>
      </c>
      <c r="D57" s="8">
        <v>2.5299999999999998</v>
      </c>
      <c r="E57" s="12">
        <v>3394</v>
      </c>
      <c r="F57" s="8">
        <v>4.6399999999999997</v>
      </c>
      <c r="G57" s="12">
        <v>690</v>
      </c>
      <c r="H57" s="8">
        <v>0.79</v>
      </c>
      <c r="I57" s="12">
        <v>1</v>
      </c>
    </row>
    <row r="58" spans="2:9" ht="15" customHeight="1" x14ac:dyDescent="0.15">
      <c r="B58" t="s">
        <v>154</v>
      </c>
      <c r="C58" s="12">
        <v>4074</v>
      </c>
      <c r="D58" s="8">
        <v>2.5299999999999998</v>
      </c>
      <c r="E58" s="12">
        <v>3664</v>
      </c>
      <c r="F58" s="8">
        <v>5.01</v>
      </c>
      <c r="G58" s="12">
        <v>409</v>
      </c>
      <c r="H58" s="8">
        <v>0.47</v>
      </c>
      <c r="I58" s="12">
        <v>1</v>
      </c>
    </row>
    <row r="59" spans="2:9" ht="15" customHeight="1" x14ac:dyDescent="0.15">
      <c r="B59" t="s">
        <v>152</v>
      </c>
      <c r="C59" s="12">
        <v>3864</v>
      </c>
      <c r="D59" s="8">
        <v>2.4</v>
      </c>
      <c r="E59" s="12">
        <v>3578</v>
      </c>
      <c r="F59" s="8">
        <v>4.8899999999999997</v>
      </c>
      <c r="G59" s="12">
        <v>285</v>
      </c>
      <c r="H59" s="8">
        <v>0.32</v>
      </c>
      <c r="I59" s="12">
        <v>1</v>
      </c>
    </row>
    <row r="60" spans="2:9" ht="15" customHeight="1" x14ac:dyDescent="0.15">
      <c r="B60" t="s">
        <v>145</v>
      </c>
      <c r="C60" s="12">
        <v>3738</v>
      </c>
      <c r="D60" s="8">
        <v>2.3199999999999998</v>
      </c>
      <c r="E60" s="12">
        <v>2034</v>
      </c>
      <c r="F60" s="8">
        <v>2.78</v>
      </c>
      <c r="G60" s="12">
        <v>1703</v>
      </c>
      <c r="H60" s="8">
        <v>1.94</v>
      </c>
      <c r="I60" s="12">
        <v>1</v>
      </c>
    </row>
    <row r="61" spans="2:9" ht="15" customHeight="1" x14ac:dyDescent="0.15">
      <c r="B61" t="s">
        <v>149</v>
      </c>
      <c r="C61" s="12">
        <v>3227</v>
      </c>
      <c r="D61" s="8">
        <v>2</v>
      </c>
      <c r="E61" s="12">
        <v>194</v>
      </c>
      <c r="F61" s="8">
        <v>0.27</v>
      </c>
      <c r="G61" s="12">
        <v>3010</v>
      </c>
      <c r="H61" s="8">
        <v>3.42</v>
      </c>
      <c r="I61" s="12">
        <v>23</v>
      </c>
    </row>
    <row r="62" spans="2:9" ht="15" customHeight="1" x14ac:dyDescent="0.15">
      <c r="B62" t="s">
        <v>143</v>
      </c>
      <c r="C62" s="12">
        <v>2746</v>
      </c>
      <c r="D62" s="8">
        <v>1.7</v>
      </c>
      <c r="E62" s="12">
        <v>1417</v>
      </c>
      <c r="F62" s="8">
        <v>1.94</v>
      </c>
      <c r="G62" s="12">
        <v>1327</v>
      </c>
      <c r="H62" s="8">
        <v>1.51</v>
      </c>
      <c r="I62" s="12">
        <v>2</v>
      </c>
    </row>
    <row r="63" spans="2:9" ht="15" customHeight="1" x14ac:dyDescent="0.15">
      <c r="B63" t="s">
        <v>147</v>
      </c>
      <c r="C63" s="12">
        <v>2660</v>
      </c>
      <c r="D63" s="8">
        <v>1.65</v>
      </c>
      <c r="E63" s="12">
        <v>835</v>
      </c>
      <c r="F63" s="8">
        <v>1.1399999999999999</v>
      </c>
      <c r="G63" s="12">
        <v>1821</v>
      </c>
      <c r="H63" s="8">
        <v>2.0699999999999998</v>
      </c>
      <c r="I63" s="12">
        <v>4</v>
      </c>
    </row>
    <row r="64" spans="2:9" ht="15" customHeight="1" x14ac:dyDescent="0.15">
      <c r="B64" t="s">
        <v>153</v>
      </c>
      <c r="C64" s="12">
        <v>2625</v>
      </c>
      <c r="D64" s="8">
        <v>1.63</v>
      </c>
      <c r="E64" s="12">
        <v>1434</v>
      </c>
      <c r="F64" s="8">
        <v>1.96</v>
      </c>
      <c r="G64" s="12">
        <v>1191</v>
      </c>
      <c r="H64" s="8">
        <v>1.36</v>
      </c>
      <c r="I64" s="12">
        <v>0</v>
      </c>
    </row>
    <row r="65" spans="2:9" ht="15" customHeight="1" x14ac:dyDescent="0.15">
      <c r="B65" t="s">
        <v>141</v>
      </c>
      <c r="C65" s="12">
        <v>2582</v>
      </c>
      <c r="D65" s="8">
        <v>1.6</v>
      </c>
      <c r="E65" s="12">
        <v>250</v>
      </c>
      <c r="F65" s="8">
        <v>0.34</v>
      </c>
      <c r="G65" s="12">
        <v>2332</v>
      </c>
      <c r="H65" s="8">
        <v>2.65</v>
      </c>
      <c r="I65" s="12">
        <v>0</v>
      </c>
    </row>
    <row r="66" spans="2:9" ht="15" customHeight="1" x14ac:dyDescent="0.15">
      <c r="B66" t="s">
        <v>146</v>
      </c>
      <c r="C66" s="12">
        <v>2536</v>
      </c>
      <c r="D66" s="8">
        <v>1.57</v>
      </c>
      <c r="E66" s="12">
        <v>236</v>
      </c>
      <c r="F66" s="8">
        <v>0.32</v>
      </c>
      <c r="G66" s="12">
        <v>2300</v>
      </c>
      <c r="H66" s="8">
        <v>2.62</v>
      </c>
      <c r="I66" s="12">
        <v>0</v>
      </c>
    </row>
    <row r="67" spans="2:9" ht="15" customHeight="1" x14ac:dyDescent="0.15">
      <c r="B67" t="s">
        <v>140</v>
      </c>
      <c r="C67" s="12">
        <v>2385</v>
      </c>
      <c r="D67" s="8">
        <v>1.48</v>
      </c>
      <c r="E67" s="12">
        <v>387</v>
      </c>
      <c r="F67" s="8">
        <v>0.53</v>
      </c>
      <c r="G67" s="12">
        <v>1997</v>
      </c>
      <c r="H67" s="8">
        <v>2.27</v>
      </c>
      <c r="I67" s="12">
        <v>1</v>
      </c>
    </row>
    <row r="68" spans="2:9" ht="15" customHeight="1" x14ac:dyDescent="0.15">
      <c r="B68" t="s">
        <v>138</v>
      </c>
      <c r="C68" s="12">
        <v>2236</v>
      </c>
      <c r="D68" s="8">
        <v>1.39</v>
      </c>
      <c r="E68" s="12">
        <v>260</v>
      </c>
      <c r="F68" s="8">
        <v>0.36</v>
      </c>
      <c r="G68" s="12">
        <v>1975</v>
      </c>
      <c r="H68" s="8">
        <v>2.25</v>
      </c>
      <c r="I68" s="12">
        <v>1</v>
      </c>
    </row>
    <row r="69" spans="2:9" ht="15" customHeight="1" x14ac:dyDescent="0.15">
      <c r="B69" t="s">
        <v>139</v>
      </c>
      <c r="C69" s="12">
        <v>2190</v>
      </c>
      <c r="D69" s="8">
        <v>1.36</v>
      </c>
      <c r="E69" s="12">
        <v>263</v>
      </c>
      <c r="F69" s="8">
        <v>0.36</v>
      </c>
      <c r="G69" s="12">
        <v>1926</v>
      </c>
      <c r="H69" s="8">
        <v>2.19</v>
      </c>
      <c r="I69" s="12">
        <v>1</v>
      </c>
    </row>
    <row r="70" spans="2:9" ht="15" customHeight="1" x14ac:dyDescent="0.15">
      <c r="B70" t="s">
        <v>142</v>
      </c>
      <c r="C70" s="12">
        <v>2060</v>
      </c>
      <c r="D70" s="8">
        <v>1.28</v>
      </c>
      <c r="E70" s="12">
        <v>806</v>
      </c>
      <c r="F70" s="8">
        <v>1.1000000000000001</v>
      </c>
      <c r="G70" s="12">
        <v>1254</v>
      </c>
      <c r="H70" s="8">
        <v>1.43</v>
      </c>
      <c r="I70" s="12">
        <v>0</v>
      </c>
    </row>
    <row r="71" spans="2:9" ht="15" customHeight="1" x14ac:dyDescent="0.15">
      <c r="B71" t="s">
        <v>144</v>
      </c>
      <c r="C71" s="12">
        <v>2045</v>
      </c>
      <c r="D71" s="8">
        <v>1.27</v>
      </c>
      <c r="E71" s="12">
        <v>653</v>
      </c>
      <c r="F71" s="8">
        <v>0.89</v>
      </c>
      <c r="G71" s="12">
        <v>1392</v>
      </c>
      <c r="H71" s="8">
        <v>1.58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8428</v>
      </c>
      <c r="D6" s="8">
        <v>13.82</v>
      </c>
      <c r="E6" s="12">
        <v>1156</v>
      </c>
      <c r="F6" s="8">
        <v>4.75</v>
      </c>
      <c r="G6" s="12">
        <v>7270</v>
      </c>
      <c r="H6" s="8">
        <v>19.89</v>
      </c>
      <c r="I6" s="12">
        <v>2</v>
      </c>
    </row>
    <row r="7" spans="2:9" ht="15" customHeight="1" x14ac:dyDescent="0.15">
      <c r="B7" t="s">
        <v>64</v>
      </c>
      <c r="C7" s="12">
        <v>4280</v>
      </c>
      <c r="D7" s="8">
        <v>7.02</v>
      </c>
      <c r="E7" s="12">
        <v>691</v>
      </c>
      <c r="F7" s="8">
        <v>2.84</v>
      </c>
      <c r="G7" s="12">
        <v>3588</v>
      </c>
      <c r="H7" s="8">
        <v>9.82</v>
      </c>
      <c r="I7" s="12">
        <v>1</v>
      </c>
    </row>
    <row r="8" spans="2:9" ht="15" customHeight="1" x14ac:dyDescent="0.15">
      <c r="B8" t="s">
        <v>65</v>
      </c>
      <c r="C8" s="12">
        <v>9</v>
      </c>
      <c r="D8" s="8">
        <v>0.01</v>
      </c>
      <c r="E8" s="12">
        <v>0</v>
      </c>
      <c r="F8" s="8">
        <v>0</v>
      </c>
      <c r="G8" s="12">
        <v>9</v>
      </c>
      <c r="H8" s="8">
        <v>0.02</v>
      </c>
      <c r="I8" s="12">
        <v>0</v>
      </c>
    </row>
    <row r="9" spans="2:9" ht="15" customHeight="1" x14ac:dyDescent="0.15">
      <c r="B9" t="s">
        <v>66</v>
      </c>
      <c r="C9" s="12">
        <v>958</v>
      </c>
      <c r="D9" s="8">
        <v>1.57</v>
      </c>
      <c r="E9" s="12">
        <v>33</v>
      </c>
      <c r="F9" s="8">
        <v>0.14000000000000001</v>
      </c>
      <c r="G9" s="12">
        <v>919</v>
      </c>
      <c r="H9" s="8">
        <v>2.5099999999999998</v>
      </c>
      <c r="I9" s="12">
        <v>6</v>
      </c>
    </row>
    <row r="10" spans="2:9" ht="15" customHeight="1" x14ac:dyDescent="0.15">
      <c r="B10" t="s">
        <v>67</v>
      </c>
      <c r="C10" s="12">
        <v>852</v>
      </c>
      <c r="D10" s="8">
        <v>1.4</v>
      </c>
      <c r="E10" s="12">
        <v>208</v>
      </c>
      <c r="F10" s="8">
        <v>0.85</v>
      </c>
      <c r="G10" s="12">
        <v>642</v>
      </c>
      <c r="H10" s="8">
        <v>1.76</v>
      </c>
      <c r="I10" s="12">
        <v>2</v>
      </c>
    </row>
    <row r="11" spans="2:9" ht="15" customHeight="1" x14ac:dyDescent="0.15">
      <c r="B11" t="s">
        <v>68</v>
      </c>
      <c r="C11" s="12">
        <v>13021</v>
      </c>
      <c r="D11" s="8">
        <v>21.35</v>
      </c>
      <c r="E11" s="12">
        <v>4065</v>
      </c>
      <c r="F11" s="8">
        <v>16.7</v>
      </c>
      <c r="G11" s="12">
        <v>8948</v>
      </c>
      <c r="H11" s="8">
        <v>24.48</v>
      </c>
      <c r="I11" s="12">
        <v>8</v>
      </c>
    </row>
    <row r="12" spans="2:9" ht="15" customHeight="1" x14ac:dyDescent="0.15">
      <c r="B12" t="s">
        <v>69</v>
      </c>
      <c r="C12" s="12">
        <v>414</v>
      </c>
      <c r="D12" s="8">
        <v>0.68</v>
      </c>
      <c r="E12" s="12">
        <v>28</v>
      </c>
      <c r="F12" s="8">
        <v>0.12</v>
      </c>
      <c r="G12" s="12">
        <v>386</v>
      </c>
      <c r="H12" s="8">
        <v>1.06</v>
      </c>
      <c r="I12" s="12">
        <v>0</v>
      </c>
    </row>
    <row r="13" spans="2:9" ht="15" customHeight="1" x14ac:dyDescent="0.15">
      <c r="B13" t="s">
        <v>70</v>
      </c>
      <c r="C13" s="12">
        <v>8078</v>
      </c>
      <c r="D13" s="8">
        <v>13.25</v>
      </c>
      <c r="E13" s="12">
        <v>3034</v>
      </c>
      <c r="F13" s="8">
        <v>12.46</v>
      </c>
      <c r="G13" s="12">
        <v>5025</v>
      </c>
      <c r="H13" s="8">
        <v>13.75</v>
      </c>
      <c r="I13" s="12">
        <v>19</v>
      </c>
    </row>
    <row r="14" spans="2:9" ht="15" customHeight="1" x14ac:dyDescent="0.15">
      <c r="B14" t="s">
        <v>71</v>
      </c>
      <c r="C14" s="12">
        <v>4082</v>
      </c>
      <c r="D14" s="8">
        <v>6.69</v>
      </c>
      <c r="E14" s="12">
        <v>1750</v>
      </c>
      <c r="F14" s="8">
        <v>7.19</v>
      </c>
      <c r="G14" s="12">
        <v>2330</v>
      </c>
      <c r="H14" s="8">
        <v>6.37</v>
      </c>
      <c r="I14" s="12">
        <v>2</v>
      </c>
    </row>
    <row r="15" spans="2:9" ht="15" customHeight="1" x14ac:dyDescent="0.15">
      <c r="B15" t="s">
        <v>72</v>
      </c>
      <c r="C15" s="12">
        <v>6932</v>
      </c>
      <c r="D15" s="8">
        <v>11.37</v>
      </c>
      <c r="E15" s="12">
        <v>5127</v>
      </c>
      <c r="F15" s="8">
        <v>21.06</v>
      </c>
      <c r="G15" s="12">
        <v>1801</v>
      </c>
      <c r="H15" s="8">
        <v>4.93</v>
      </c>
      <c r="I15" s="12">
        <v>4</v>
      </c>
    </row>
    <row r="16" spans="2:9" ht="15" customHeight="1" x14ac:dyDescent="0.15">
      <c r="B16" t="s">
        <v>73</v>
      </c>
      <c r="C16" s="12">
        <v>6583</v>
      </c>
      <c r="D16" s="8">
        <v>10.79</v>
      </c>
      <c r="E16" s="12">
        <v>4424</v>
      </c>
      <c r="F16" s="8">
        <v>18.18</v>
      </c>
      <c r="G16" s="12">
        <v>2156</v>
      </c>
      <c r="H16" s="8">
        <v>5.9</v>
      </c>
      <c r="I16" s="12">
        <v>3</v>
      </c>
    </row>
    <row r="17" spans="2:9" ht="15" customHeight="1" x14ac:dyDescent="0.15">
      <c r="B17" t="s">
        <v>74</v>
      </c>
      <c r="C17" s="12">
        <v>2275</v>
      </c>
      <c r="D17" s="8">
        <v>3.73</v>
      </c>
      <c r="E17" s="12">
        <v>1450</v>
      </c>
      <c r="F17" s="8">
        <v>5.96</v>
      </c>
      <c r="G17" s="12">
        <v>821</v>
      </c>
      <c r="H17" s="8">
        <v>2.25</v>
      </c>
      <c r="I17" s="12">
        <v>4</v>
      </c>
    </row>
    <row r="18" spans="2:9" ht="15" customHeight="1" x14ac:dyDescent="0.15">
      <c r="B18" t="s">
        <v>75</v>
      </c>
      <c r="C18" s="12">
        <v>3070</v>
      </c>
      <c r="D18" s="8">
        <v>5.03</v>
      </c>
      <c r="E18" s="12">
        <v>1994</v>
      </c>
      <c r="F18" s="8">
        <v>8.19</v>
      </c>
      <c r="G18" s="12">
        <v>1050</v>
      </c>
      <c r="H18" s="8">
        <v>2.87</v>
      </c>
      <c r="I18" s="12">
        <v>26</v>
      </c>
    </row>
    <row r="19" spans="2:9" ht="15" customHeight="1" x14ac:dyDescent="0.15">
      <c r="B19" t="s">
        <v>76</v>
      </c>
      <c r="C19" s="12">
        <v>2005</v>
      </c>
      <c r="D19" s="8">
        <v>3.29</v>
      </c>
      <c r="E19" s="12">
        <v>381</v>
      </c>
      <c r="F19" s="8">
        <v>1.57</v>
      </c>
      <c r="G19" s="12">
        <v>1608</v>
      </c>
      <c r="H19" s="8">
        <v>4.4000000000000004</v>
      </c>
      <c r="I19" s="12">
        <v>16</v>
      </c>
    </row>
    <row r="20" spans="2:9" ht="15" customHeight="1" x14ac:dyDescent="0.15">
      <c r="B20" s="9" t="s">
        <v>216</v>
      </c>
      <c r="C20" s="12">
        <f>SUM(LTBL_14100[総数／事業所数])</f>
        <v>60987</v>
      </c>
      <c r="E20" s="12">
        <f>SUBTOTAL(109,LTBL_14100[個人／事業所数])</f>
        <v>24341</v>
      </c>
      <c r="G20" s="12">
        <f>SUBTOTAL(109,LTBL_14100[法人／事業所数])</f>
        <v>36553</v>
      </c>
      <c r="I20" s="12">
        <f>SUBTOTAL(109,LTBL_14100[法人以外の団体／事業所数])</f>
        <v>93</v>
      </c>
    </row>
    <row r="21" spans="2:9" ht="15" customHeight="1" x14ac:dyDescent="0.15">
      <c r="E21" s="11">
        <f>LTBL_14100[[#Totals],[個人／事業所数]]/LTBL_14100[[#Totals],[総数／事業所数]]</f>
        <v>0.39911784478659385</v>
      </c>
      <c r="G21" s="11">
        <f>LTBL_14100[[#Totals],[法人／事業所数]]/LTBL_14100[[#Totals],[総数／事業所数]]</f>
        <v>0.59935724006755542</v>
      </c>
      <c r="I21" s="11">
        <f>LTBL_14100[[#Totals],[法人以外の団体／事業所数]]/LTBL_14100[[#Totals],[総数／事業所数]]</f>
        <v>1.524915145850755E-3</v>
      </c>
    </row>
    <row r="23" spans="2:9" ht="33" customHeight="1" x14ac:dyDescent="0.15">
      <c r="B23" t="s">
        <v>215</v>
      </c>
      <c r="C23" s="10" t="s">
        <v>78</v>
      </c>
      <c r="D23" s="10" t="s">
        <v>229</v>
      </c>
      <c r="E23" s="10" t="s">
        <v>80</v>
      </c>
      <c r="F23" s="10" t="s">
        <v>223</v>
      </c>
      <c r="G23" s="10" t="s">
        <v>82</v>
      </c>
      <c r="H23" s="10" t="s">
        <v>230</v>
      </c>
      <c r="I23" s="10" t="s">
        <v>84</v>
      </c>
    </row>
    <row r="24" spans="2:9" ht="15" customHeight="1" x14ac:dyDescent="0.15">
      <c r="B24" t="s">
        <v>218</v>
      </c>
      <c r="C24">
        <v>134</v>
      </c>
      <c r="D24" t="s">
        <v>217</v>
      </c>
      <c r="E24">
        <v>0</v>
      </c>
      <c r="F24" t="s">
        <v>219</v>
      </c>
      <c r="G24">
        <v>134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6479</v>
      </c>
      <c r="D29" s="8">
        <v>10.62</v>
      </c>
      <c r="E29" s="12">
        <v>2931</v>
      </c>
      <c r="F29" s="8">
        <v>12.04</v>
      </c>
      <c r="G29" s="12">
        <v>3530</v>
      </c>
      <c r="H29" s="8">
        <v>9.66</v>
      </c>
      <c r="I29" s="12">
        <v>18</v>
      </c>
    </row>
    <row r="30" spans="2:9" ht="15" customHeight="1" x14ac:dyDescent="0.15">
      <c r="B30" t="s">
        <v>99</v>
      </c>
      <c r="C30" s="12">
        <v>6409</v>
      </c>
      <c r="D30" s="8">
        <v>10.51</v>
      </c>
      <c r="E30" s="12">
        <v>5026</v>
      </c>
      <c r="F30" s="8">
        <v>20.65</v>
      </c>
      <c r="G30" s="12">
        <v>1380</v>
      </c>
      <c r="H30" s="8">
        <v>3.78</v>
      </c>
      <c r="I30" s="12">
        <v>3</v>
      </c>
    </row>
    <row r="31" spans="2:9" ht="15" customHeight="1" x14ac:dyDescent="0.15">
      <c r="B31" t="s">
        <v>100</v>
      </c>
      <c r="C31" s="12">
        <v>5422</v>
      </c>
      <c r="D31" s="8">
        <v>8.89</v>
      </c>
      <c r="E31" s="12">
        <v>4006</v>
      </c>
      <c r="F31" s="8">
        <v>16.46</v>
      </c>
      <c r="G31" s="12">
        <v>1415</v>
      </c>
      <c r="H31" s="8">
        <v>3.87</v>
      </c>
      <c r="I31" s="12">
        <v>1</v>
      </c>
    </row>
    <row r="32" spans="2:9" ht="15" customHeight="1" x14ac:dyDescent="0.15">
      <c r="B32" t="s">
        <v>94</v>
      </c>
      <c r="C32" s="12">
        <v>3579</v>
      </c>
      <c r="D32" s="8">
        <v>5.87</v>
      </c>
      <c r="E32" s="12">
        <v>1444</v>
      </c>
      <c r="F32" s="8">
        <v>5.93</v>
      </c>
      <c r="G32" s="12">
        <v>2131</v>
      </c>
      <c r="H32" s="8">
        <v>5.83</v>
      </c>
      <c r="I32" s="12">
        <v>4</v>
      </c>
    </row>
    <row r="33" spans="2:9" ht="15" customHeight="1" x14ac:dyDescent="0.15">
      <c r="B33" t="s">
        <v>85</v>
      </c>
      <c r="C33" s="12">
        <v>3104</v>
      </c>
      <c r="D33" s="8">
        <v>5.09</v>
      </c>
      <c r="E33" s="12">
        <v>379</v>
      </c>
      <c r="F33" s="8">
        <v>1.56</v>
      </c>
      <c r="G33" s="12">
        <v>2723</v>
      </c>
      <c r="H33" s="8">
        <v>7.45</v>
      </c>
      <c r="I33" s="12">
        <v>2</v>
      </c>
    </row>
    <row r="34" spans="2:9" ht="15" customHeight="1" x14ac:dyDescent="0.15">
      <c r="B34" t="s">
        <v>86</v>
      </c>
      <c r="C34" s="12">
        <v>2930</v>
      </c>
      <c r="D34" s="8">
        <v>4.8</v>
      </c>
      <c r="E34" s="12">
        <v>577</v>
      </c>
      <c r="F34" s="8">
        <v>2.37</v>
      </c>
      <c r="G34" s="12">
        <v>2353</v>
      </c>
      <c r="H34" s="8">
        <v>6.44</v>
      </c>
      <c r="I34" s="12">
        <v>0</v>
      </c>
    </row>
    <row r="35" spans="2:9" ht="15" customHeight="1" x14ac:dyDescent="0.15">
      <c r="B35" t="s">
        <v>92</v>
      </c>
      <c r="C35" s="12">
        <v>2578</v>
      </c>
      <c r="D35" s="8">
        <v>4.2300000000000004</v>
      </c>
      <c r="E35" s="12">
        <v>1276</v>
      </c>
      <c r="F35" s="8">
        <v>5.24</v>
      </c>
      <c r="G35" s="12">
        <v>1302</v>
      </c>
      <c r="H35" s="8">
        <v>3.56</v>
      </c>
      <c r="I35" s="12">
        <v>0</v>
      </c>
    </row>
    <row r="36" spans="2:9" ht="15" customHeight="1" x14ac:dyDescent="0.15">
      <c r="B36" t="s">
        <v>103</v>
      </c>
      <c r="C36" s="12">
        <v>2405</v>
      </c>
      <c r="D36" s="8">
        <v>3.94</v>
      </c>
      <c r="E36" s="12">
        <v>1981</v>
      </c>
      <c r="F36" s="8">
        <v>8.14</v>
      </c>
      <c r="G36" s="12">
        <v>423</v>
      </c>
      <c r="H36" s="8">
        <v>1.1599999999999999</v>
      </c>
      <c r="I36" s="12">
        <v>1</v>
      </c>
    </row>
    <row r="37" spans="2:9" ht="15" customHeight="1" x14ac:dyDescent="0.15">
      <c r="B37" t="s">
        <v>87</v>
      </c>
      <c r="C37" s="12">
        <v>2394</v>
      </c>
      <c r="D37" s="8">
        <v>3.93</v>
      </c>
      <c r="E37" s="12">
        <v>200</v>
      </c>
      <c r="F37" s="8">
        <v>0.82</v>
      </c>
      <c r="G37" s="12">
        <v>2194</v>
      </c>
      <c r="H37" s="8">
        <v>6</v>
      </c>
      <c r="I37" s="12">
        <v>0</v>
      </c>
    </row>
    <row r="38" spans="2:9" ht="15" customHeight="1" x14ac:dyDescent="0.15">
      <c r="B38" t="s">
        <v>97</v>
      </c>
      <c r="C38" s="12">
        <v>2367</v>
      </c>
      <c r="D38" s="8">
        <v>3.88</v>
      </c>
      <c r="E38" s="12">
        <v>1363</v>
      </c>
      <c r="F38" s="8">
        <v>5.6</v>
      </c>
      <c r="G38" s="12">
        <v>1002</v>
      </c>
      <c r="H38" s="8">
        <v>2.74</v>
      </c>
      <c r="I38" s="12">
        <v>2</v>
      </c>
    </row>
    <row r="39" spans="2:9" ht="15" customHeight="1" x14ac:dyDescent="0.15">
      <c r="B39" t="s">
        <v>102</v>
      </c>
      <c r="C39" s="12">
        <v>2275</v>
      </c>
      <c r="D39" s="8">
        <v>3.73</v>
      </c>
      <c r="E39" s="12">
        <v>1450</v>
      </c>
      <c r="F39" s="8">
        <v>5.96</v>
      </c>
      <c r="G39" s="12">
        <v>821</v>
      </c>
      <c r="H39" s="8">
        <v>2.25</v>
      </c>
      <c r="I39" s="12">
        <v>4</v>
      </c>
    </row>
    <row r="40" spans="2:9" ht="15" customHeight="1" x14ac:dyDescent="0.15">
      <c r="B40" t="s">
        <v>91</v>
      </c>
      <c r="C40" s="12">
        <v>1819</v>
      </c>
      <c r="D40" s="8">
        <v>2.98</v>
      </c>
      <c r="E40" s="12">
        <v>559</v>
      </c>
      <c r="F40" s="8">
        <v>2.2999999999999998</v>
      </c>
      <c r="G40" s="12">
        <v>1260</v>
      </c>
      <c r="H40" s="8">
        <v>3.45</v>
      </c>
      <c r="I40" s="12">
        <v>0</v>
      </c>
    </row>
    <row r="41" spans="2:9" ht="15" customHeight="1" x14ac:dyDescent="0.15">
      <c r="B41" t="s">
        <v>98</v>
      </c>
      <c r="C41" s="12">
        <v>1553</v>
      </c>
      <c r="D41" s="8">
        <v>2.5499999999999998</v>
      </c>
      <c r="E41" s="12">
        <v>381</v>
      </c>
      <c r="F41" s="8">
        <v>1.57</v>
      </c>
      <c r="G41" s="12">
        <v>1172</v>
      </c>
      <c r="H41" s="8">
        <v>3.21</v>
      </c>
      <c r="I41" s="12">
        <v>0</v>
      </c>
    </row>
    <row r="42" spans="2:9" ht="15" customHeight="1" x14ac:dyDescent="0.15">
      <c r="B42" t="s">
        <v>95</v>
      </c>
      <c r="C42" s="12">
        <v>1411</v>
      </c>
      <c r="D42" s="8">
        <v>2.31</v>
      </c>
      <c r="E42" s="12">
        <v>93</v>
      </c>
      <c r="F42" s="8">
        <v>0.38</v>
      </c>
      <c r="G42" s="12">
        <v>1318</v>
      </c>
      <c r="H42" s="8">
        <v>3.61</v>
      </c>
      <c r="I42" s="12">
        <v>0</v>
      </c>
    </row>
    <row r="43" spans="2:9" ht="15" customHeight="1" x14ac:dyDescent="0.15">
      <c r="B43" t="s">
        <v>93</v>
      </c>
      <c r="C43" s="12">
        <v>1325</v>
      </c>
      <c r="D43" s="8">
        <v>2.17</v>
      </c>
      <c r="E43" s="12">
        <v>435</v>
      </c>
      <c r="F43" s="8">
        <v>1.79</v>
      </c>
      <c r="G43" s="12">
        <v>890</v>
      </c>
      <c r="H43" s="8">
        <v>2.4300000000000002</v>
      </c>
      <c r="I43" s="12">
        <v>0</v>
      </c>
    </row>
    <row r="44" spans="2:9" ht="15" customHeight="1" x14ac:dyDescent="0.15">
      <c r="B44" t="s">
        <v>90</v>
      </c>
      <c r="C44" s="12">
        <v>1055</v>
      </c>
      <c r="D44" s="8">
        <v>1.73</v>
      </c>
      <c r="E44" s="12">
        <v>32</v>
      </c>
      <c r="F44" s="8">
        <v>0.13</v>
      </c>
      <c r="G44" s="12">
        <v>1023</v>
      </c>
      <c r="H44" s="8">
        <v>2.8</v>
      </c>
      <c r="I44" s="12">
        <v>0</v>
      </c>
    </row>
    <row r="45" spans="2:9" ht="15" customHeight="1" x14ac:dyDescent="0.15">
      <c r="B45" t="s">
        <v>104</v>
      </c>
      <c r="C45" s="12">
        <v>840</v>
      </c>
      <c r="D45" s="8">
        <v>1.38</v>
      </c>
      <c r="E45" s="12">
        <v>54</v>
      </c>
      <c r="F45" s="8">
        <v>0.22</v>
      </c>
      <c r="G45" s="12">
        <v>774</v>
      </c>
      <c r="H45" s="8">
        <v>2.12</v>
      </c>
      <c r="I45" s="12">
        <v>12</v>
      </c>
    </row>
    <row r="46" spans="2:9" ht="15" customHeight="1" x14ac:dyDescent="0.15">
      <c r="B46" t="s">
        <v>88</v>
      </c>
      <c r="C46" s="12">
        <v>789</v>
      </c>
      <c r="D46" s="8">
        <v>1.29</v>
      </c>
      <c r="E46" s="12">
        <v>129</v>
      </c>
      <c r="F46" s="8">
        <v>0.53</v>
      </c>
      <c r="G46" s="12">
        <v>660</v>
      </c>
      <c r="H46" s="8">
        <v>1.81</v>
      </c>
      <c r="I46" s="12">
        <v>0</v>
      </c>
    </row>
    <row r="47" spans="2:9" ht="15" customHeight="1" x14ac:dyDescent="0.15">
      <c r="B47" t="s">
        <v>105</v>
      </c>
      <c r="C47" s="12">
        <v>778</v>
      </c>
      <c r="D47" s="8">
        <v>1.28</v>
      </c>
      <c r="E47" s="12">
        <v>101</v>
      </c>
      <c r="F47" s="8">
        <v>0.41</v>
      </c>
      <c r="G47" s="12">
        <v>675</v>
      </c>
      <c r="H47" s="8">
        <v>1.85</v>
      </c>
      <c r="I47" s="12">
        <v>2</v>
      </c>
    </row>
    <row r="48" spans="2:9" ht="15" customHeight="1" x14ac:dyDescent="0.15">
      <c r="B48" t="s">
        <v>101</v>
      </c>
      <c r="C48" s="12">
        <v>759</v>
      </c>
      <c r="D48" s="8">
        <v>1.24</v>
      </c>
      <c r="E48" s="12">
        <v>240</v>
      </c>
      <c r="F48" s="8">
        <v>0.99</v>
      </c>
      <c r="G48" s="12">
        <v>519</v>
      </c>
      <c r="H48" s="8">
        <v>1.42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3780</v>
      </c>
      <c r="D52" s="8">
        <v>6.2</v>
      </c>
      <c r="E52" s="12">
        <v>2442</v>
      </c>
      <c r="F52" s="8">
        <v>10.029999999999999</v>
      </c>
      <c r="G52" s="12">
        <v>1338</v>
      </c>
      <c r="H52" s="8">
        <v>3.66</v>
      </c>
      <c r="I52" s="12">
        <v>0</v>
      </c>
    </row>
    <row r="53" spans="2:9" ht="15" customHeight="1" x14ac:dyDescent="0.15">
      <c r="B53" t="s">
        <v>155</v>
      </c>
      <c r="C53" s="12">
        <v>2509</v>
      </c>
      <c r="D53" s="8">
        <v>4.1100000000000003</v>
      </c>
      <c r="E53" s="12">
        <v>1974</v>
      </c>
      <c r="F53" s="8">
        <v>8.11</v>
      </c>
      <c r="G53" s="12">
        <v>534</v>
      </c>
      <c r="H53" s="8">
        <v>1.46</v>
      </c>
      <c r="I53" s="12">
        <v>1</v>
      </c>
    </row>
    <row r="54" spans="2:9" ht="15" customHeight="1" x14ac:dyDescent="0.15">
      <c r="B54" t="s">
        <v>150</v>
      </c>
      <c r="C54" s="12">
        <v>1728</v>
      </c>
      <c r="D54" s="8">
        <v>2.83</v>
      </c>
      <c r="E54" s="12">
        <v>1232</v>
      </c>
      <c r="F54" s="8">
        <v>5.0599999999999996</v>
      </c>
      <c r="G54" s="12">
        <v>496</v>
      </c>
      <c r="H54" s="8">
        <v>1.36</v>
      </c>
      <c r="I54" s="12">
        <v>0</v>
      </c>
    </row>
    <row r="55" spans="2:9" ht="15" customHeight="1" x14ac:dyDescent="0.15">
      <c r="B55" t="s">
        <v>151</v>
      </c>
      <c r="C55" s="12">
        <v>1703</v>
      </c>
      <c r="D55" s="8">
        <v>2.79</v>
      </c>
      <c r="E55" s="12">
        <v>1453</v>
      </c>
      <c r="F55" s="8">
        <v>5.97</v>
      </c>
      <c r="G55" s="12">
        <v>250</v>
      </c>
      <c r="H55" s="8">
        <v>0.68</v>
      </c>
      <c r="I55" s="12">
        <v>0</v>
      </c>
    </row>
    <row r="56" spans="2:9" ht="15" customHeight="1" x14ac:dyDescent="0.15">
      <c r="B56" t="s">
        <v>157</v>
      </c>
      <c r="C56" s="12">
        <v>1506</v>
      </c>
      <c r="D56" s="8">
        <v>2.4700000000000002</v>
      </c>
      <c r="E56" s="12">
        <v>1215</v>
      </c>
      <c r="F56" s="8">
        <v>4.99</v>
      </c>
      <c r="G56" s="12">
        <v>290</v>
      </c>
      <c r="H56" s="8">
        <v>0.79</v>
      </c>
      <c r="I56" s="12">
        <v>1</v>
      </c>
    </row>
    <row r="57" spans="2:9" ht="15" customHeight="1" x14ac:dyDescent="0.15">
      <c r="B57" t="s">
        <v>156</v>
      </c>
      <c r="C57" s="12">
        <v>1498</v>
      </c>
      <c r="D57" s="8">
        <v>2.46</v>
      </c>
      <c r="E57" s="12">
        <v>1024</v>
      </c>
      <c r="F57" s="8">
        <v>4.21</v>
      </c>
      <c r="G57" s="12">
        <v>473</v>
      </c>
      <c r="H57" s="8">
        <v>1.29</v>
      </c>
      <c r="I57" s="12">
        <v>1</v>
      </c>
    </row>
    <row r="58" spans="2:9" ht="15" customHeight="1" x14ac:dyDescent="0.15">
      <c r="B58" t="s">
        <v>154</v>
      </c>
      <c r="C58" s="12">
        <v>1443</v>
      </c>
      <c r="D58" s="8">
        <v>2.37</v>
      </c>
      <c r="E58" s="12">
        <v>1260</v>
      </c>
      <c r="F58" s="8">
        <v>5.18</v>
      </c>
      <c r="G58" s="12">
        <v>183</v>
      </c>
      <c r="H58" s="8">
        <v>0.5</v>
      </c>
      <c r="I58" s="12">
        <v>0</v>
      </c>
    </row>
    <row r="59" spans="2:9" ht="15" customHeight="1" x14ac:dyDescent="0.15">
      <c r="B59" t="s">
        <v>152</v>
      </c>
      <c r="C59" s="12">
        <v>1430</v>
      </c>
      <c r="D59" s="8">
        <v>2.34</v>
      </c>
      <c r="E59" s="12">
        <v>1282</v>
      </c>
      <c r="F59" s="8">
        <v>5.27</v>
      </c>
      <c r="G59" s="12">
        <v>148</v>
      </c>
      <c r="H59" s="8">
        <v>0.4</v>
      </c>
      <c r="I59" s="12">
        <v>0</v>
      </c>
    </row>
    <row r="60" spans="2:9" ht="15" customHeight="1" x14ac:dyDescent="0.15">
      <c r="B60" t="s">
        <v>145</v>
      </c>
      <c r="C60" s="12">
        <v>1423</v>
      </c>
      <c r="D60" s="8">
        <v>2.33</v>
      </c>
      <c r="E60" s="12">
        <v>715</v>
      </c>
      <c r="F60" s="8">
        <v>2.94</v>
      </c>
      <c r="G60" s="12">
        <v>707</v>
      </c>
      <c r="H60" s="8">
        <v>1.93</v>
      </c>
      <c r="I60" s="12">
        <v>1</v>
      </c>
    </row>
    <row r="61" spans="2:9" ht="15" customHeight="1" x14ac:dyDescent="0.15">
      <c r="B61" t="s">
        <v>149</v>
      </c>
      <c r="C61" s="12">
        <v>1339</v>
      </c>
      <c r="D61" s="8">
        <v>2.2000000000000002</v>
      </c>
      <c r="E61" s="12">
        <v>50</v>
      </c>
      <c r="F61" s="8">
        <v>0.21</v>
      </c>
      <c r="G61" s="12">
        <v>1275</v>
      </c>
      <c r="H61" s="8">
        <v>3.49</v>
      </c>
      <c r="I61" s="12">
        <v>14</v>
      </c>
    </row>
    <row r="62" spans="2:9" ht="15" customHeight="1" x14ac:dyDescent="0.15">
      <c r="B62" t="s">
        <v>146</v>
      </c>
      <c r="C62" s="12">
        <v>1087</v>
      </c>
      <c r="D62" s="8">
        <v>1.78</v>
      </c>
      <c r="E62" s="12">
        <v>88</v>
      </c>
      <c r="F62" s="8">
        <v>0.36</v>
      </c>
      <c r="G62" s="12">
        <v>999</v>
      </c>
      <c r="H62" s="8">
        <v>2.73</v>
      </c>
      <c r="I62" s="12">
        <v>0</v>
      </c>
    </row>
    <row r="63" spans="2:9" ht="15" customHeight="1" x14ac:dyDescent="0.15">
      <c r="B63" t="s">
        <v>141</v>
      </c>
      <c r="C63" s="12">
        <v>1051</v>
      </c>
      <c r="D63" s="8">
        <v>1.72</v>
      </c>
      <c r="E63" s="12">
        <v>69</v>
      </c>
      <c r="F63" s="8">
        <v>0.28000000000000003</v>
      </c>
      <c r="G63" s="12">
        <v>982</v>
      </c>
      <c r="H63" s="8">
        <v>2.69</v>
      </c>
      <c r="I63" s="12">
        <v>0</v>
      </c>
    </row>
    <row r="64" spans="2:9" ht="15" customHeight="1" x14ac:dyDescent="0.15">
      <c r="B64" t="s">
        <v>143</v>
      </c>
      <c r="C64" s="12">
        <v>1044</v>
      </c>
      <c r="D64" s="8">
        <v>1.71</v>
      </c>
      <c r="E64" s="12">
        <v>511</v>
      </c>
      <c r="F64" s="8">
        <v>2.1</v>
      </c>
      <c r="G64" s="12">
        <v>533</v>
      </c>
      <c r="H64" s="8">
        <v>1.46</v>
      </c>
      <c r="I64" s="12">
        <v>0</v>
      </c>
    </row>
    <row r="65" spans="2:9" ht="15" customHeight="1" x14ac:dyDescent="0.15">
      <c r="B65" t="s">
        <v>153</v>
      </c>
      <c r="C65" s="12">
        <v>995</v>
      </c>
      <c r="D65" s="8">
        <v>1.63</v>
      </c>
      <c r="E65" s="12">
        <v>523</v>
      </c>
      <c r="F65" s="8">
        <v>2.15</v>
      </c>
      <c r="G65" s="12">
        <v>472</v>
      </c>
      <c r="H65" s="8">
        <v>1.29</v>
      </c>
      <c r="I65" s="12">
        <v>0</v>
      </c>
    </row>
    <row r="66" spans="2:9" ht="15" customHeight="1" x14ac:dyDescent="0.15">
      <c r="B66" t="s">
        <v>147</v>
      </c>
      <c r="C66" s="12">
        <v>945</v>
      </c>
      <c r="D66" s="8">
        <v>1.55</v>
      </c>
      <c r="E66" s="12">
        <v>187</v>
      </c>
      <c r="F66" s="8">
        <v>0.77</v>
      </c>
      <c r="G66" s="12">
        <v>756</v>
      </c>
      <c r="H66" s="8">
        <v>2.0699999999999998</v>
      </c>
      <c r="I66" s="12">
        <v>2</v>
      </c>
    </row>
    <row r="67" spans="2:9" ht="15" customHeight="1" x14ac:dyDescent="0.15">
      <c r="B67" t="s">
        <v>158</v>
      </c>
      <c r="C67" s="12">
        <v>861</v>
      </c>
      <c r="D67" s="8">
        <v>1.41</v>
      </c>
      <c r="E67" s="12">
        <v>100</v>
      </c>
      <c r="F67" s="8">
        <v>0.41</v>
      </c>
      <c r="G67" s="12">
        <v>761</v>
      </c>
      <c r="H67" s="8">
        <v>2.08</v>
      </c>
      <c r="I67" s="12">
        <v>0</v>
      </c>
    </row>
    <row r="68" spans="2:9" ht="15" customHeight="1" x14ac:dyDescent="0.15">
      <c r="B68" t="s">
        <v>159</v>
      </c>
      <c r="C68" s="12">
        <v>851</v>
      </c>
      <c r="D68" s="8">
        <v>1.4</v>
      </c>
      <c r="E68" s="12">
        <v>184</v>
      </c>
      <c r="F68" s="8">
        <v>0.76</v>
      </c>
      <c r="G68" s="12">
        <v>667</v>
      </c>
      <c r="H68" s="8">
        <v>1.82</v>
      </c>
      <c r="I68" s="12">
        <v>0</v>
      </c>
    </row>
    <row r="69" spans="2:9" ht="15" customHeight="1" x14ac:dyDescent="0.15">
      <c r="B69" t="s">
        <v>142</v>
      </c>
      <c r="C69" s="12">
        <v>837</v>
      </c>
      <c r="D69" s="8">
        <v>1.37</v>
      </c>
      <c r="E69" s="12">
        <v>271</v>
      </c>
      <c r="F69" s="8">
        <v>1.1100000000000001</v>
      </c>
      <c r="G69" s="12">
        <v>566</v>
      </c>
      <c r="H69" s="8">
        <v>1.55</v>
      </c>
      <c r="I69" s="12">
        <v>0</v>
      </c>
    </row>
    <row r="70" spans="2:9" ht="15" customHeight="1" x14ac:dyDescent="0.15">
      <c r="B70" t="s">
        <v>140</v>
      </c>
      <c r="C70" s="12">
        <v>835</v>
      </c>
      <c r="D70" s="8">
        <v>1.37</v>
      </c>
      <c r="E70" s="12">
        <v>113</v>
      </c>
      <c r="F70" s="8">
        <v>0.46</v>
      </c>
      <c r="G70" s="12">
        <v>722</v>
      </c>
      <c r="H70" s="8">
        <v>1.98</v>
      </c>
      <c r="I70" s="12">
        <v>0</v>
      </c>
    </row>
    <row r="71" spans="2:9" ht="15" customHeight="1" x14ac:dyDescent="0.15">
      <c r="B71" t="s">
        <v>139</v>
      </c>
      <c r="C71" s="12">
        <v>801</v>
      </c>
      <c r="D71" s="8">
        <v>1.31</v>
      </c>
      <c r="E71" s="12">
        <v>76</v>
      </c>
      <c r="F71" s="8">
        <v>0.31</v>
      </c>
      <c r="G71" s="12">
        <v>724</v>
      </c>
      <c r="H71" s="8">
        <v>1.98</v>
      </c>
      <c r="I71" s="12">
        <v>1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789</v>
      </c>
      <c r="D6" s="8">
        <v>15.73</v>
      </c>
      <c r="E6" s="12">
        <v>115</v>
      </c>
      <c r="F6" s="8">
        <v>5.43</v>
      </c>
      <c r="G6" s="12">
        <v>674</v>
      </c>
      <c r="H6" s="8">
        <v>23.32</v>
      </c>
      <c r="I6" s="12">
        <v>0</v>
      </c>
    </row>
    <row r="7" spans="2:9" ht="15" customHeight="1" x14ac:dyDescent="0.15">
      <c r="B7" t="s">
        <v>64</v>
      </c>
      <c r="C7" s="12">
        <v>540</v>
      </c>
      <c r="D7" s="8">
        <v>10.77</v>
      </c>
      <c r="E7" s="12">
        <v>91</v>
      </c>
      <c r="F7" s="8">
        <v>4.3</v>
      </c>
      <c r="G7" s="12">
        <v>449</v>
      </c>
      <c r="H7" s="8">
        <v>15.54</v>
      </c>
      <c r="I7" s="12">
        <v>0</v>
      </c>
    </row>
    <row r="8" spans="2:9" ht="15" customHeight="1" x14ac:dyDescent="0.15">
      <c r="B8" t="s">
        <v>65</v>
      </c>
      <c r="C8" s="12">
        <v>2</v>
      </c>
      <c r="D8" s="8">
        <v>0.04</v>
      </c>
      <c r="E8" s="12">
        <v>0</v>
      </c>
      <c r="F8" s="8">
        <v>0</v>
      </c>
      <c r="G8" s="12">
        <v>2</v>
      </c>
      <c r="H8" s="8">
        <v>7.0000000000000007E-2</v>
      </c>
      <c r="I8" s="12">
        <v>0</v>
      </c>
    </row>
    <row r="9" spans="2:9" ht="15" customHeight="1" x14ac:dyDescent="0.15">
      <c r="B9" t="s">
        <v>66</v>
      </c>
      <c r="C9" s="12">
        <v>53</v>
      </c>
      <c r="D9" s="8">
        <v>1.06</v>
      </c>
      <c r="E9" s="12">
        <v>1</v>
      </c>
      <c r="F9" s="8">
        <v>0.05</v>
      </c>
      <c r="G9" s="12">
        <v>51</v>
      </c>
      <c r="H9" s="8">
        <v>1.76</v>
      </c>
      <c r="I9" s="12">
        <v>1</v>
      </c>
    </row>
    <row r="10" spans="2:9" ht="15" customHeight="1" x14ac:dyDescent="0.15">
      <c r="B10" t="s">
        <v>67</v>
      </c>
      <c r="C10" s="12">
        <v>118</v>
      </c>
      <c r="D10" s="8">
        <v>2.35</v>
      </c>
      <c r="E10" s="12">
        <v>15</v>
      </c>
      <c r="F10" s="8">
        <v>0.71</v>
      </c>
      <c r="G10" s="12">
        <v>103</v>
      </c>
      <c r="H10" s="8">
        <v>3.56</v>
      </c>
      <c r="I10" s="12">
        <v>0</v>
      </c>
    </row>
    <row r="11" spans="2:9" ht="15" customHeight="1" x14ac:dyDescent="0.15">
      <c r="B11" t="s">
        <v>68</v>
      </c>
      <c r="C11" s="12">
        <v>1089</v>
      </c>
      <c r="D11" s="8">
        <v>21.71</v>
      </c>
      <c r="E11" s="12">
        <v>454</v>
      </c>
      <c r="F11" s="8">
        <v>21.45</v>
      </c>
      <c r="G11" s="12">
        <v>635</v>
      </c>
      <c r="H11" s="8">
        <v>21.97</v>
      </c>
      <c r="I11" s="12">
        <v>0</v>
      </c>
    </row>
    <row r="12" spans="2:9" ht="15" customHeight="1" x14ac:dyDescent="0.15">
      <c r="B12" t="s">
        <v>69</v>
      </c>
      <c r="C12" s="12">
        <v>22</v>
      </c>
      <c r="D12" s="8">
        <v>0.44</v>
      </c>
      <c r="E12" s="12">
        <v>2</v>
      </c>
      <c r="F12" s="8">
        <v>0.09</v>
      </c>
      <c r="G12" s="12">
        <v>20</v>
      </c>
      <c r="H12" s="8">
        <v>0.69</v>
      </c>
      <c r="I12" s="12">
        <v>0</v>
      </c>
    </row>
    <row r="13" spans="2:9" ht="15" customHeight="1" x14ac:dyDescent="0.15">
      <c r="B13" t="s">
        <v>70</v>
      </c>
      <c r="C13" s="12">
        <v>522</v>
      </c>
      <c r="D13" s="8">
        <v>10.41</v>
      </c>
      <c r="E13" s="12">
        <v>169</v>
      </c>
      <c r="F13" s="8">
        <v>7.98</v>
      </c>
      <c r="G13" s="12">
        <v>351</v>
      </c>
      <c r="H13" s="8">
        <v>12.15</v>
      </c>
      <c r="I13" s="12">
        <v>2</v>
      </c>
    </row>
    <row r="14" spans="2:9" ht="15" customHeight="1" x14ac:dyDescent="0.15">
      <c r="B14" t="s">
        <v>71</v>
      </c>
      <c r="C14" s="12">
        <v>193</v>
      </c>
      <c r="D14" s="8">
        <v>3.85</v>
      </c>
      <c r="E14" s="12">
        <v>84</v>
      </c>
      <c r="F14" s="8">
        <v>3.97</v>
      </c>
      <c r="G14" s="12">
        <v>109</v>
      </c>
      <c r="H14" s="8">
        <v>3.77</v>
      </c>
      <c r="I14" s="12">
        <v>0</v>
      </c>
    </row>
    <row r="15" spans="2:9" ht="15" customHeight="1" x14ac:dyDescent="0.15">
      <c r="B15" t="s">
        <v>72</v>
      </c>
      <c r="C15" s="12">
        <v>688</v>
      </c>
      <c r="D15" s="8">
        <v>13.72</v>
      </c>
      <c r="E15" s="12">
        <v>541</v>
      </c>
      <c r="F15" s="8">
        <v>25.56</v>
      </c>
      <c r="G15" s="12">
        <v>146</v>
      </c>
      <c r="H15" s="8">
        <v>5.05</v>
      </c>
      <c r="I15" s="12">
        <v>1</v>
      </c>
    </row>
    <row r="16" spans="2:9" ht="15" customHeight="1" x14ac:dyDescent="0.15">
      <c r="B16" t="s">
        <v>73</v>
      </c>
      <c r="C16" s="12">
        <v>527</v>
      </c>
      <c r="D16" s="8">
        <v>10.51</v>
      </c>
      <c r="E16" s="12">
        <v>381</v>
      </c>
      <c r="F16" s="8">
        <v>18</v>
      </c>
      <c r="G16" s="12">
        <v>145</v>
      </c>
      <c r="H16" s="8">
        <v>5.0199999999999996</v>
      </c>
      <c r="I16" s="12">
        <v>1</v>
      </c>
    </row>
    <row r="17" spans="2:9" ht="15" customHeight="1" x14ac:dyDescent="0.15">
      <c r="B17" t="s">
        <v>74</v>
      </c>
      <c r="C17" s="12">
        <v>157</v>
      </c>
      <c r="D17" s="8">
        <v>3.13</v>
      </c>
      <c r="E17" s="12">
        <v>113</v>
      </c>
      <c r="F17" s="8">
        <v>5.34</v>
      </c>
      <c r="G17" s="12">
        <v>44</v>
      </c>
      <c r="H17" s="8">
        <v>1.52</v>
      </c>
      <c r="I17" s="12">
        <v>0</v>
      </c>
    </row>
    <row r="18" spans="2:9" ht="15" customHeight="1" x14ac:dyDescent="0.15">
      <c r="B18" t="s">
        <v>75</v>
      </c>
      <c r="C18" s="12">
        <v>192</v>
      </c>
      <c r="D18" s="8">
        <v>3.83</v>
      </c>
      <c r="E18" s="12">
        <v>132</v>
      </c>
      <c r="F18" s="8">
        <v>6.24</v>
      </c>
      <c r="G18" s="12">
        <v>57</v>
      </c>
      <c r="H18" s="8">
        <v>1.97</v>
      </c>
      <c r="I18" s="12">
        <v>3</v>
      </c>
    </row>
    <row r="19" spans="2:9" ht="15" customHeight="1" x14ac:dyDescent="0.15">
      <c r="B19" t="s">
        <v>76</v>
      </c>
      <c r="C19" s="12">
        <v>123</v>
      </c>
      <c r="D19" s="8">
        <v>2.4500000000000002</v>
      </c>
      <c r="E19" s="12">
        <v>19</v>
      </c>
      <c r="F19" s="8">
        <v>0.9</v>
      </c>
      <c r="G19" s="12">
        <v>104</v>
      </c>
      <c r="H19" s="8">
        <v>3.6</v>
      </c>
      <c r="I19" s="12">
        <v>0</v>
      </c>
    </row>
    <row r="20" spans="2:9" ht="15" customHeight="1" x14ac:dyDescent="0.15">
      <c r="B20" s="9" t="s">
        <v>216</v>
      </c>
      <c r="C20" s="12">
        <f>SUM(LTBL_14101[総数／事業所数])</f>
        <v>5015</v>
      </c>
      <c r="E20" s="12">
        <f>SUBTOTAL(109,LTBL_14101[個人／事業所数])</f>
        <v>2117</v>
      </c>
      <c r="G20" s="12">
        <f>SUBTOTAL(109,LTBL_14101[法人／事業所数])</f>
        <v>2890</v>
      </c>
      <c r="I20" s="12">
        <f>SUBTOTAL(109,LTBL_14101[法人以外の団体／事業所数])</f>
        <v>8</v>
      </c>
    </row>
    <row r="21" spans="2:9" ht="15" customHeight="1" x14ac:dyDescent="0.15">
      <c r="E21" s="11">
        <f>LTBL_14101[[#Totals],[個人／事業所数]]/LTBL_14101[[#Totals],[総数／事業所数]]</f>
        <v>0.4221335992023928</v>
      </c>
      <c r="G21" s="11">
        <f>LTBL_14101[[#Totals],[法人／事業所数]]/LTBL_14101[[#Totals],[総数／事業所数]]</f>
        <v>0.57627118644067798</v>
      </c>
      <c r="I21" s="11">
        <f>LTBL_14101[[#Totals],[法人以外の団体／事業所数]]/LTBL_14101[[#Totals],[総数／事業所数]]</f>
        <v>1.5952143569292123E-3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235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636</v>
      </c>
      <c r="D29" s="8">
        <v>12.68</v>
      </c>
      <c r="E29" s="12">
        <v>535</v>
      </c>
      <c r="F29" s="8">
        <v>25.27</v>
      </c>
      <c r="G29" s="12">
        <v>101</v>
      </c>
      <c r="H29" s="8">
        <v>3.49</v>
      </c>
      <c r="I29" s="12">
        <v>0</v>
      </c>
    </row>
    <row r="30" spans="2:9" ht="15" customHeight="1" x14ac:dyDescent="0.15">
      <c r="B30" t="s">
        <v>100</v>
      </c>
      <c r="C30" s="12">
        <v>443</v>
      </c>
      <c r="D30" s="8">
        <v>8.83</v>
      </c>
      <c r="E30" s="12">
        <v>350</v>
      </c>
      <c r="F30" s="8">
        <v>16.53</v>
      </c>
      <c r="G30" s="12">
        <v>93</v>
      </c>
      <c r="H30" s="8">
        <v>3.22</v>
      </c>
      <c r="I30" s="12">
        <v>0</v>
      </c>
    </row>
    <row r="31" spans="2:9" ht="15" customHeight="1" x14ac:dyDescent="0.15">
      <c r="B31" t="s">
        <v>96</v>
      </c>
      <c r="C31" s="12">
        <v>415</v>
      </c>
      <c r="D31" s="8">
        <v>8.2799999999999994</v>
      </c>
      <c r="E31" s="12">
        <v>163</v>
      </c>
      <c r="F31" s="8">
        <v>7.7</v>
      </c>
      <c r="G31" s="12">
        <v>251</v>
      </c>
      <c r="H31" s="8">
        <v>8.69</v>
      </c>
      <c r="I31" s="12">
        <v>1</v>
      </c>
    </row>
    <row r="32" spans="2:9" ht="15" customHeight="1" x14ac:dyDescent="0.15">
      <c r="B32" t="s">
        <v>94</v>
      </c>
      <c r="C32" s="12">
        <v>311</v>
      </c>
      <c r="D32" s="8">
        <v>6.2</v>
      </c>
      <c r="E32" s="12">
        <v>162</v>
      </c>
      <c r="F32" s="8">
        <v>7.65</v>
      </c>
      <c r="G32" s="12">
        <v>149</v>
      </c>
      <c r="H32" s="8">
        <v>5.16</v>
      </c>
      <c r="I32" s="12">
        <v>0</v>
      </c>
    </row>
    <row r="33" spans="2:9" ht="15" customHeight="1" x14ac:dyDescent="0.15">
      <c r="B33" t="s">
        <v>87</v>
      </c>
      <c r="C33" s="12">
        <v>284</v>
      </c>
      <c r="D33" s="8">
        <v>5.66</v>
      </c>
      <c r="E33" s="12">
        <v>17</v>
      </c>
      <c r="F33" s="8">
        <v>0.8</v>
      </c>
      <c r="G33" s="12">
        <v>267</v>
      </c>
      <c r="H33" s="8">
        <v>9.24</v>
      </c>
      <c r="I33" s="12">
        <v>0</v>
      </c>
    </row>
    <row r="34" spans="2:9" ht="15" customHeight="1" x14ac:dyDescent="0.15">
      <c r="B34" t="s">
        <v>86</v>
      </c>
      <c r="C34" s="12">
        <v>280</v>
      </c>
      <c r="D34" s="8">
        <v>5.58</v>
      </c>
      <c r="E34" s="12">
        <v>66</v>
      </c>
      <c r="F34" s="8">
        <v>3.12</v>
      </c>
      <c r="G34" s="12">
        <v>214</v>
      </c>
      <c r="H34" s="8">
        <v>7.4</v>
      </c>
      <c r="I34" s="12">
        <v>0</v>
      </c>
    </row>
    <row r="35" spans="2:9" ht="15" customHeight="1" x14ac:dyDescent="0.15">
      <c r="B35" t="s">
        <v>92</v>
      </c>
      <c r="C35" s="12">
        <v>260</v>
      </c>
      <c r="D35" s="8">
        <v>5.18</v>
      </c>
      <c r="E35" s="12">
        <v>152</v>
      </c>
      <c r="F35" s="8">
        <v>7.18</v>
      </c>
      <c r="G35" s="12">
        <v>108</v>
      </c>
      <c r="H35" s="8">
        <v>3.74</v>
      </c>
      <c r="I35" s="12">
        <v>0</v>
      </c>
    </row>
    <row r="36" spans="2:9" ht="15" customHeight="1" x14ac:dyDescent="0.15">
      <c r="B36" t="s">
        <v>85</v>
      </c>
      <c r="C36" s="12">
        <v>225</v>
      </c>
      <c r="D36" s="8">
        <v>4.49</v>
      </c>
      <c r="E36" s="12">
        <v>32</v>
      </c>
      <c r="F36" s="8">
        <v>1.51</v>
      </c>
      <c r="G36" s="12">
        <v>193</v>
      </c>
      <c r="H36" s="8">
        <v>6.68</v>
      </c>
      <c r="I36" s="12">
        <v>0</v>
      </c>
    </row>
    <row r="37" spans="2:9" ht="15" customHeight="1" x14ac:dyDescent="0.15">
      <c r="B37" t="s">
        <v>103</v>
      </c>
      <c r="C37" s="12">
        <v>158</v>
      </c>
      <c r="D37" s="8">
        <v>3.15</v>
      </c>
      <c r="E37" s="12">
        <v>132</v>
      </c>
      <c r="F37" s="8">
        <v>6.24</v>
      </c>
      <c r="G37" s="12">
        <v>26</v>
      </c>
      <c r="H37" s="8">
        <v>0.9</v>
      </c>
      <c r="I37" s="12">
        <v>0</v>
      </c>
    </row>
    <row r="38" spans="2:9" ht="15" customHeight="1" x14ac:dyDescent="0.15">
      <c r="B38" t="s">
        <v>102</v>
      </c>
      <c r="C38" s="12">
        <v>157</v>
      </c>
      <c r="D38" s="8">
        <v>3.13</v>
      </c>
      <c r="E38" s="12">
        <v>113</v>
      </c>
      <c r="F38" s="8">
        <v>5.34</v>
      </c>
      <c r="G38" s="12">
        <v>44</v>
      </c>
      <c r="H38" s="8">
        <v>1.52</v>
      </c>
      <c r="I38" s="12">
        <v>0</v>
      </c>
    </row>
    <row r="39" spans="2:9" ht="15" customHeight="1" x14ac:dyDescent="0.15">
      <c r="B39" t="s">
        <v>88</v>
      </c>
      <c r="C39" s="12">
        <v>111</v>
      </c>
      <c r="D39" s="8">
        <v>2.21</v>
      </c>
      <c r="E39" s="12">
        <v>16</v>
      </c>
      <c r="F39" s="8">
        <v>0.76</v>
      </c>
      <c r="G39" s="12">
        <v>95</v>
      </c>
      <c r="H39" s="8">
        <v>3.29</v>
      </c>
      <c r="I39" s="12">
        <v>0</v>
      </c>
    </row>
    <row r="40" spans="2:9" ht="15" customHeight="1" x14ac:dyDescent="0.15">
      <c r="B40" t="s">
        <v>91</v>
      </c>
      <c r="C40" s="12">
        <v>111</v>
      </c>
      <c r="D40" s="8">
        <v>2.21</v>
      </c>
      <c r="E40" s="12">
        <v>50</v>
      </c>
      <c r="F40" s="8">
        <v>2.36</v>
      </c>
      <c r="G40" s="12">
        <v>61</v>
      </c>
      <c r="H40" s="8">
        <v>2.11</v>
      </c>
      <c r="I40" s="12">
        <v>0</v>
      </c>
    </row>
    <row r="41" spans="2:9" ht="15" customHeight="1" x14ac:dyDescent="0.15">
      <c r="B41" t="s">
        <v>93</v>
      </c>
      <c r="C41" s="12">
        <v>107</v>
      </c>
      <c r="D41" s="8">
        <v>2.13</v>
      </c>
      <c r="E41" s="12">
        <v>45</v>
      </c>
      <c r="F41" s="8">
        <v>2.13</v>
      </c>
      <c r="G41" s="12">
        <v>62</v>
      </c>
      <c r="H41" s="8">
        <v>2.15</v>
      </c>
      <c r="I41" s="12">
        <v>0</v>
      </c>
    </row>
    <row r="42" spans="2:9" ht="15" customHeight="1" x14ac:dyDescent="0.15">
      <c r="B42" t="s">
        <v>89</v>
      </c>
      <c r="C42" s="12">
        <v>93</v>
      </c>
      <c r="D42" s="8">
        <v>1.85</v>
      </c>
      <c r="E42" s="12">
        <v>16</v>
      </c>
      <c r="F42" s="8">
        <v>0.76</v>
      </c>
      <c r="G42" s="12">
        <v>77</v>
      </c>
      <c r="H42" s="8">
        <v>2.66</v>
      </c>
      <c r="I42" s="12">
        <v>0</v>
      </c>
    </row>
    <row r="43" spans="2:9" ht="15" customHeight="1" x14ac:dyDescent="0.15">
      <c r="B43" t="s">
        <v>97</v>
      </c>
      <c r="C43" s="12">
        <v>92</v>
      </c>
      <c r="D43" s="8">
        <v>1.83</v>
      </c>
      <c r="E43" s="12">
        <v>63</v>
      </c>
      <c r="F43" s="8">
        <v>2.98</v>
      </c>
      <c r="G43" s="12">
        <v>29</v>
      </c>
      <c r="H43" s="8">
        <v>1</v>
      </c>
      <c r="I43" s="12">
        <v>0</v>
      </c>
    </row>
    <row r="44" spans="2:9" ht="15" customHeight="1" x14ac:dyDescent="0.15">
      <c r="B44" t="s">
        <v>98</v>
      </c>
      <c r="C44" s="12">
        <v>91</v>
      </c>
      <c r="D44" s="8">
        <v>1.81</v>
      </c>
      <c r="E44" s="12">
        <v>21</v>
      </c>
      <c r="F44" s="8">
        <v>0.99</v>
      </c>
      <c r="G44" s="12">
        <v>70</v>
      </c>
      <c r="H44" s="8">
        <v>2.42</v>
      </c>
      <c r="I44" s="12">
        <v>0</v>
      </c>
    </row>
    <row r="45" spans="2:9" ht="15" customHeight="1" x14ac:dyDescent="0.15">
      <c r="B45" t="s">
        <v>95</v>
      </c>
      <c r="C45" s="12">
        <v>89</v>
      </c>
      <c r="D45" s="8">
        <v>1.77</v>
      </c>
      <c r="E45" s="12">
        <v>6</v>
      </c>
      <c r="F45" s="8">
        <v>0.28000000000000003</v>
      </c>
      <c r="G45" s="12">
        <v>83</v>
      </c>
      <c r="H45" s="8">
        <v>2.87</v>
      </c>
      <c r="I45" s="12">
        <v>0</v>
      </c>
    </row>
    <row r="46" spans="2:9" ht="15" customHeight="1" x14ac:dyDescent="0.15">
      <c r="B46" t="s">
        <v>106</v>
      </c>
      <c r="C46" s="12">
        <v>84</v>
      </c>
      <c r="D46" s="8">
        <v>1.67</v>
      </c>
      <c r="E46" s="12">
        <v>15</v>
      </c>
      <c r="F46" s="8">
        <v>0.71</v>
      </c>
      <c r="G46" s="12">
        <v>69</v>
      </c>
      <c r="H46" s="8">
        <v>2.39</v>
      </c>
      <c r="I46" s="12">
        <v>0</v>
      </c>
    </row>
    <row r="47" spans="2:9" ht="15" customHeight="1" x14ac:dyDescent="0.15">
      <c r="B47" t="s">
        <v>90</v>
      </c>
      <c r="C47" s="12">
        <v>68</v>
      </c>
      <c r="D47" s="8">
        <v>1.36</v>
      </c>
      <c r="E47" s="12">
        <v>1</v>
      </c>
      <c r="F47" s="8">
        <v>0.05</v>
      </c>
      <c r="G47" s="12">
        <v>67</v>
      </c>
      <c r="H47" s="8">
        <v>2.3199999999999998</v>
      </c>
      <c r="I47" s="12">
        <v>0</v>
      </c>
    </row>
    <row r="48" spans="2:9" ht="15" customHeight="1" x14ac:dyDescent="0.15">
      <c r="B48" t="s">
        <v>105</v>
      </c>
      <c r="C48" s="12">
        <v>55</v>
      </c>
      <c r="D48" s="8">
        <v>1.1000000000000001</v>
      </c>
      <c r="E48" s="12">
        <v>7</v>
      </c>
      <c r="F48" s="8">
        <v>0.33</v>
      </c>
      <c r="G48" s="12">
        <v>48</v>
      </c>
      <c r="H48" s="8">
        <v>1.66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239</v>
      </c>
      <c r="D52" s="8">
        <v>4.7699999999999996</v>
      </c>
      <c r="E52" s="12">
        <v>134</v>
      </c>
      <c r="F52" s="8">
        <v>6.33</v>
      </c>
      <c r="G52" s="12">
        <v>105</v>
      </c>
      <c r="H52" s="8">
        <v>3.63</v>
      </c>
      <c r="I52" s="12">
        <v>0</v>
      </c>
    </row>
    <row r="53" spans="2:9" ht="15" customHeight="1" x14ac:dyDescent="0.15">
      <c r="B53" t="s">
        <v>151</v>
      </c>
      <c r="C53" s="12">
        <v>208</v>
      </c>
      <c r="D53" s="8">
        <v>4.1500000000000004</v>
      </c>
      <c r="E53" s="12">
        <v>190</v>
      </c>
      <c r="F53" s="8">
        <v>8.9700000000000006</v>
      </c>
      <c r="G53" s="12">
        <v>18</v>
      </c>
      <c r="H53" s="8">
        <v>0.62</v>
      </c>
      <c r="I53" s="12">
        <v>0</v>
      </c>
    </row>
    <row r="54" spans="2:9" ht="15" customHeight="1" x14ac:dyDescent="0.15">
      <c r="B54" t="s">
        <v>155</v>
      </c>
      <c r="C54" s="12">
        <v>177</v>
      </c>
      <c r="D54" s="8">
        <v>3.53</v>
      </c>
      <c r="E54" s="12">
        <v>148</v>
      </c>
      <c r="F54" s="8">
        <v>6.99</v>
      </c>
      <c r="G54" s="12">
        <v>29</v>
      </c>
      <c r="H54" s="8">
        <v>1</v>
      </c>
      <c r="I54" s="12">
        <v>0</v>
      </c>
    </row>
    <row r="55" spans="2:9" ht="15" customHeight="1" x14ac:dyDescent="0.15">
      <c r="B55" t="s">
        <v>150</v>
      </c>
      <c r="C55" s="12">
        <v>151</v>
      </c>
      <c r="D55" s="8">
        <v>3.01</v>
      </c>
      <c r="E55" s="12">
        <v>112</v>
      </c>
      <c r="F55" s="8">
        <v>5.29</v>
      </c>
      <c r="G55" s="12">
        <v>39</v>
      </c>
      <c r="H55" s="8">
        <v>1.35</v>
      </c>
      <c r="I55" s="12">
        <v>0</v>
      </c>
    </row>
    <row r="56" spans="2:9" ht="15" customHeight="1" x14ac:dyDescent="0.15">
      <c r="B56" t="s">
        <v>154</v>
      </c>
      <c r="C56" s="12">
        <v>143</v>
      </c>
      <c r="D56" s="8">
        <v>2.85</v>
      </c>
      <c r="E56" s="12">
        <v>128</v>
      </c>
      <c r="F56" s="8">
        <v>6.05</v>
      </c>
      <c r="G56" s="12">
        <v>15</v>
      </c>
      <c r="H56" s="8">
        <v>0.52</v>
      </c>
      <c r="I56" s="12">
        <v>0</v>
      </c>
    </row>
    <row r="57" spans="2:9" ht="15" customHeight="1" x14ac:dyDescent="0.15">
      <c r="B57" t="s">
        <v>152</v>
      </c>
      <c r="C57" s="12">
        <v>133</v>
      </c>
      <c r="D57" s="8">
        <v>2.65</v>
      </c>
      <c r="E57" s="12">
        <v>129</v>
      </c>
      <c r="F57" s="8">
        <v>6.09</v>
      </c>
      <c r="G57" s="12">
        <v>4</v>
      </c>
      <c r="H57" s="8">
        <v>0.14000000000000001</v>
      </c>
      <c r="I57" s="12">
        <v>0</v>
      </c>
    </row>
    <row r="58" spans="2:9" ht="15" customHeight="1" x14ac:dyDescent="0.15">
      <c r="B58" t="s">
        <v>145</v>
      </c>
      <c r="C58" s="12">
        <v>126</v>
      </c>
      <c r="D58" s="8">
        <v>2.5099999999999998</v>
      </c>
      <c r="E58" s="12">
        <v>84</v>
      </c>
      <c r="F58" s="8">
        <v>3.97</v>
      </c>
      <c r="G58" s="12">
        <v>42</v>
      </c>
      <c r="H58" s="8">
        <v>1.45</v>
      </c>
      <c r="I58" s="12">
        <v>0</v>
      </c>
    </row>
    <row r="59" spans="2:9" ht="15" customHeight="1" x14ac:dyDescent="0.15">
      <c r="B59" t="s">
        <v>141</v>
      </c>
      <c r="C59" s="12">
        <v>115</v>
      </c>
      <c r="D59" s="8">
        <v>2.29</v>
      </c>
      <c r="E59" s="12">
        <v>4</v>
      </c>
      <c r="F59" s="8">
        <v>0.19</v>
      </c>
      <c r="G59" s="12">
        <v>111</v>
      </c>
      <c r="H59" s="8">
        <v>3.84</v>
      </c>
      <c r="I59" s="12">
        <v>0</v>
      </c>
    </row>
    <row r="60" spans="2:9" ht="15" customHeight="1" x14ac:dyDescent="0.15">
      <c r="B60" t="s">
        <v>156</v>
      </c>
      <c r="C60" s="12">
        <v>112</v>
      </c>
      <c r="D60" s="8">
        <v>2.23</v>
      </c>
      <c r="E60" s="12">
        <v>86</v>
      </c>
      <c r="F60" s="8">
        <v>4.0599999999999996</v>
      </c>
      <c r="G60" s="12">
        <v>26</v>
      </c>
      <c r="H60" s="8">
        <v>0.9</v>
      </c>
      <c r="I60" s="12">
        <v>0</v>
      </c>
    </row>
    <row r="61" spans="2:9" ht="15" customHeight="1" x14ac:dyDescent="0.15">
      <c r="B61" t="s">
        <v>143</v>
      </c>
      <c r="C61" s="12">
        <v>104</v>
      </c>
      <c r="D61" s="8">
        <v>2.0699999999999998</v>
      </c>
      <c r="E61" s="12">
        <v>67</v>
      </c>
      <c r="F61" s="8">
        <v>3.16</v>
      </c>
      <c r="G61" s="12">
        <v>37</v>
      </c>
      <c r="H61" s="8">
        <v>1.28</v>
      </c>
      <c r="I61" s="12">
        <v>0</v>
      </c>
    </row>
    <row r="62" spans="2:9" ht="15" customHeight="1" x14ac:dyDescent="0.15">
      <c r="B62" t="s">
        <v>157</v>
      </c>
      <c r="C62" s="12">
        <v>99</v>
      </c>
      <c r="D62" s="8">
        <v>1.97</v>
      </c>
      <c r="E62" s="12">
        <v>81</v>
      </c>
      <c r="F62" s="8">
        <v>3.83</v>
      </c>
      <c r="G62" s="12">
        <v>18</v>
      </c>
      <c r="H62" s="8">
        <v>0.62</v>
      </c>
      <c r="I62" s="12">
        <v>0</v>
      </c>
    </row>
    <row r="63" spans="2:9" ht="15" customHeight="1" x14ac:dyDescent="0.15">
      <c r="B63" t="s">
        <v>140</v>
      </c>
      <c r="C63" s="12">
        <v>97</v>
      </c>
      <c r="D63" s="8">
        <v>1.93</v>
      </c>
      <c r="E63" s="12">
        <v>11</v>
      </c>
      <c r="F63" s="8">
        <v>0.52</v>
      </c>
      <c r="G63" s="12">
        <v>86</v>
      </c>
      <c r="H63" s="8">
        <v>2.98</v>
      </c>
      <c r="I63" s="12">
        <v>0</v>
      </c>
    </row>
    <row r="64" spans="2:9" ht="15" customHeight="1" x14ac:dyDescent="0.15">
      <c r="B64" t="s">
        <v>153</v>
      </c>
      <c r="C64" s="12">
        <v>88</v>
      </c>
      <c r="D64" s="8">
        <v>1.75</v>
      </c>
      <c r="E64" s="12">
        <v>55</v>
      </c>
      <c r="F64" s="8">
        <v>2.6</v>
      </c>
      <c r="G64" s="12">
        <v>33</v>
      </c>
      <c r="H64" s="8">
        <v>1.1399999999999999</v>
      </c>
      <c r="I64" s="12">
        <v>0</v>
      </c>
    </row>
    <row r="65" spans="2:9" ht="15" customHeight="1" x14ac:dyDescent="0.15">
      <c r="B65" t="s">
        <v>149</v>
      </c>
      <c r="C65" s="12">
        <v>86</v>
      </c>
      <c r="D65" s="8">
        <v>1.71</v>
      </c>
      <c r="E65" s="12">
        <v>2</v>
      </c>
      <c r="F65" s="8">
        <v>0.09</v>
      </c>
      <c r="G65" s="12">
        <v>83</v>
      </c>
      <c r="H65" s="8">
        <v>2.87</v>
      </c>
      <c r="I65" s="12">
        <v>1</v>
      </c>
    </row>
    <row r="66" spans="2:9" ht="15" customHeight="1" x14ac:dyDescent="0.15">
      <c r="B66" t="s">
        <v>146</v>
      </c>
      <c r="C66" s="12">
        <v>69</v>
      </c>
      <c r="D66" s="8">
        <v>1.38</v>
      </c>
      <c r="E66" s="12">
        <v>6</v>
      </c>
      <c r="F66" s="8">
        <v>0.28000000000000003</v>
      </c>
      <c r="G66" s="12">
        <v>63</v>
      </c>
      <c r="H66" s="8">
        <v>2.1800000000000002</v>
      </c>
      <c r="I66" s="12">
        <v>0</v>
      </c>
    </row>
    <row r="67" spans="2:9" ht="15" customHeight="1" x14ac:dyDescent="0.15">
      <c r="B67" t="s">
        <v>139</v>
      </c>
      <c r="C67" s="12">
        <v>66</v>
      </c>
      <c r="D67" s="8">
        <v>1.32</v>
      </c>
      <c r="E67" s="12">
        <v>7</v>
      </c>
      <c r="F67" s="8">
        <v>0.33</v>
      </c>
      <c r="G67" s="12">
        <v>59</v>
      </c>
      <c r="H67" s="8">
        <v>2.04</v>
      </c>
      <c r="I67" s="12">
        <v>0</v>
      </c>
    </row>
    <row r="68" spans="2:9" ht="15" customHeight="1" x14ac:dyDescent="0.15">
      <c r="B68" t="s">
        <v>161</v>
      </c>
      <c r="C68" s="12">
        <v>62</v>
      </c>
      <c r="D68" s="8">
        <v>1.24</v>
      </c>
      <c r="E68" s="12">
        <v>17</v>
      </c>
      <c r="F68" s="8">
        <v>0.8</v>
      </c>
      <c r="G68" s="12">
        <v>45</v>
      </c>
      <c r="H68" s="8">
        <v>1.56</v>
      </c>
      <c r="I68" s="12">
        <v>0</v>
      </c>
    </row>
    <row r="69" spans="2:9" ht="15" customHeight="1" x14ac:dyDescent="0.15">
      <c r="B69" t="s">
        <v>138</v>
      </c>
      <c r="C69" s="12">
        <v>59</v>
      </c>
      <c r="D69" s="8">
        <v>1.18</v>
      </c>
      <c r="E69" s="12">
        <v>5</v>
      </c>
      <c r="F69" s="8">
        <v>0.24</v>
      </c>
      <c r="G69" s="12">
        <v>54</v>
      </c>
      <c r="H69" s="8">
        <v>1.87</v>
      </c>
      <c r="I69" s="12">
        <v>0</v>
      </c>
    </row>
    <row r="70" spans="2:9" ht="15" customHeight="1" x14ac:dyDescent="0.15">
      <c r="B70" t="s">
        <v>160</v>
      </c>
      <c r="C70" s="12">
        <v>54</v>
      </c>
      <c r="D70" s="8">
        <v>1.08</v>
      </c>
      <c r="E70" s="12">
        <v>14</v>
      </c>
      <c r="F70" s="8">
        <v>0.66</v>
      </c>
      <c r="G70" s="12">
        <v>40</v>
      </c>
      <c r="H70" s="8">
        <v>1.38</v>
      </c>
      <c r="I70" s="12">
        <v>0</v>
      </c>
    </row>
    <row r="71" spans="2:9" ht="15" customHeight="1" x14ac:dyDescent="0.15">
      <c r="B71" t="s">
        <v>147</v>
      </c>
      <c r="C71" s="12">
        <v>53</v>
      </c>
      <c r="D71" s="8">
        <v>1.06</v>
      </c>
      <c r="E71" s="12">
        <v>8</v>
      </c>
      <c r="F71" s="8">
        <v>0.38</v>
      </c>
      <c r="G71" s="12">
        <v>45</v>
      </c>
      <c r="H71" s="8">
        <v>1.56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578</v>
      </c>
      <c r="D6" s="8">
        <v>12.74</v>
      </c>
      <c r="E6" s="12">
        <v>77</v>
      </c>
      <c r="F6" s="8">
        <v>3.83</v>
      </c>
      <c r="G6" s="12">
        <v>501</v>
      </c>
      <c r="H6" s="8">
        <v>19.91</v>
      </c>
      <c r="I6" s="12">
        <v>0</v>
      </c>
    </row>
    <row r="7" spans="2:9" ht="15" customHeight="1" x14ac:dyDescent="0.15">
      <c r="B7" t="s">
        <v>64</v>
      </c>
      <c r="C7" s="12">
        <v>187</v>
      </c>
      <c r="D7" s="8">
        <v>4.12</v>
      </c>
      <c r="E7" s="12">
        <v>32</v>
      </c>
      <c r="F7" s="8">
        <v>1.59</v>
      </c>
      <c r="G7" s="12">
        <v>155</v>
      </c>
      <c r="H7" s="8">
        <v>6.16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15">
      <c r="B9" t="s">
        <v>66</v>
      </c>
      <c r="C9" s="12">
        <v>63</v>
      </c>
      <c r="D9" s="8">
        <v>1.39</v>
      </c>
      <c r="E9" s="12">
        <v>1</v>
      </c>
      <c r="F9" s="8">
        <v>0.05</v>
      </c>
      <c r="G9" s="12">
        <v>62</v>
      </c>
      <c r="H9" s="8">
        <v>2.46</v>
      </c>
      <c r="I9" s="12">
        <v>0</v>
      </c>
    </row>
    <row r="10" spans="2:9" ht="15" customHeight="1" x14ac:dyDescent="0.15">
      <c r="B10" t="s">
        <v>67</v>
      </c>
      <c r="C10" s="12">
        <v>84</v>
      </c>
      <c r="D10" s="8">
        <v>1.85</v>
      </c>
      <c r="E10" s="12">
        <v>14</v>
      </c>
      <c r="F10" s="8">
        <v>0.7</v>
      </c>
      <c r="G10" s="12">
        <v>70</v>
      </c>
      <c r="H10" s="8">
        <v>2.78</v>
      </c>
      <c r="I10" s="12">
        <v>0</v>
      </c>
    </row>
    <row r="11" spans="2:9" ht="15" customHeight="1" x14ac:dyDescent="0.15">
      <c r="B11" t="s">
        <v>68</v>
      </c>
      <c r="C11" s="12">
        <v>949</v>
      </c>
      <c r="D11" s="8">
        <v>20.91</v>
      </c>
      <c r="E11" s="12">
        <v>345</v>
      </c>
      <c r="F11" s="8">
        <v>17.16</v>
      </c>
      <c r="G11" s="12">
        <v>603</v>
      </c>
      <c r="H11" s="8">
        <v>23.97</v>
      </c>
      <c r="I11" s="12">
        <v>1</v>
      </c>
    </row>
    <row r="12" spans="2:9" ht="15" customHeight="1" x14ac:dyDescent="0.15">
      <c r="B12" t="s">
        <v>69</v>
      </c>
      <c r="C12" s="12">
        <v>34</v>
      </c>
      <c r="D12" s="8">
        <v>0.75</v>
      </c>
      <c r="E12" s="12">
        <v>1</v>
      </c>
      <c r="F12" s="8">
        <v>0.05</v>
      </c>
      <c r="G12" s="12">
        <v>33</v>
      </c>
      <c r="H12" s="8">
        <v>1.31</v>
      </c>
      <c r="I12" s="12">
        <v>0</v>
      </c>
    </row>
    <row r="13" spans="2:9" ht="15" customHeight="1" x14ac:dyDescent="0.15">
      <c r="B13" t="s">
        <v>70</v>
      </c>
      <c r="C13" s="12">
        <v>791</v>
      </c>
      <c r="D13" s="8">
        <v>17.43</v>
      </c>
      <c r="E13" s="12">
        <v>435</v>
      </c>
      <c r="F13" s="8">
        <v>21.64</v>
      </c>
      <c r="G13" s="12">
        <v>355</v>
      </c>
      <c r="H13" s="8">
        <v>14.11</v>
      </c>
      <c r="I13" s="12">
        <v>1</v>
      </c>
    </row>
    <row r="14" spans="2:9" ht="15" customHeight="1" x14ac:dyDescent="0.15">
      <c r="B14" t="s">
        <v>71</v>
      </c>
      <c r="C14" s="12">
        <v>315</v>
      </c>
      <c r="D14" s="8">
        <v>6.94</v>
      </c>
      <c r="E14" s="12">
        <v>126</v>
      </c>
      <c r="F14" s="8">
        <v>6.27</v>
      </c>
      <c r="G14" s="12">
        <v>189</v>
      </c>
      <c r="H14" s="8">
        <v>7.51</v>
      </c>
      <c r="I14" s="12">
        <v>0</v>
      </c>
    </row>
    <row r="15" spans="2:9" ht="15" customHeight="1" x14ac:dyDescent="0.15">
      <c r="B15" t="s">
        <v>72</v>
      </c>
      <c r="C15" s="12">
        <v>563</v>
      </c>
      <c r="D15" s="8">
        <v>12.41</v>
      </c>
      <c r="E15" s="12">
        <v>434</v>
      </c>
      <c r="F15" s="8">
        <v>21.59</v>
      </c>
      <c r="G15" s="12">
        <v>129</v>
      </c>
      <c r="H15" s="8">
        <v>5.13</v>
      </c>
      <c r="I15" s="12">
        <v>0</v>
      </c>
    </row>
    <row r="16" spans="2:9" ht="15" customHeight="1" x14ac:dyDescent="0.15">
      <c r="B16" t="s">
        <v>73</v>
      </c>
      <c r="C16" s="12">
        <v>434</v>
      </c>
      <c r="D16" s="8">
        <v>9.56</v>
      </c>
      <c r="E16" s="12">
        <v>293</v>
      </c>
      <c r="F16" s="8">
        <v>14.58</v>
      </c>
      <c r="G16" s="12">
        <v>141</v>
      </c>
      <c r="H16" s="8">
        <v>5.6</v>
      </c>
      <c r="I16" s="12">
        <v>0</v>
      </c>
    </row>
    <row r="17" spans="2:9" ht="15" customHeight="1" x14ac:dyDescent="0.15">
      <c r="B17" t="s">
        <v>74</v>
      </c>
      <c r="C17" s="12">
        <v>147</v>
      </c>
      <c r="D17" s="8">
        <v>3.24</v>
      </c>
      <c r="E17" s="12">
        <v>84</v>
      </c>
      <c r="F17" s="8">
        <v>4.18</v>
      </c>
      <c r="G17" s="12">
        <v>63</v>
      </c>
      <c r="H17" s="8">
        <v>2.5</v>
      </c>
      <c r="I17" s="12">
        <v>0</v>
      </c>
    </row>
    <row r="18" spans="2:9" ht="15" customHeight="1" x14ac:dyDescent="0.15">
      <c r="B18" t="s">
        <v>75</v>
      </c>
      <c r="C18" s="12">
        <v>242</v>
      </c>
      <c r="D18" s="8">
        <v>5.33</v>
      </c>
      <c r="E18" s="12">
        <v>147</v>
      </c>
      <c r="F18" s="8">
        <v>7.31</v>
      </c>
      <c r="G18" s="12">
        <v>87</v>
      </c>
      <c r="H18" s="8">
        <v>3.46</v>
      </c>
      <c r="I18" s="12">
        <v>8</v>
      </c>
    </row>
    <row r="19" spans="2:9" ht="15" customHeight="1" x14ac:dyDescent="0.15">
      <c r="B19" t="s">
        <v>76</v>
      </c>
      <c r="C19" s="12">
        <v>150</v>
      </c>
      <c r="D19" s="8">
        <v>3.31</v>
      </c>
      <c r="E19" s="12">
        <v>21</v>
      </c>
      <c r="F19" s="8">
        <v>1.04</v>
      </c>
      <c r="G19" s="12">
        <v>127</v>
      </c>
      <c r="H19" s="8">
        <v>5.05</v>
      </c>
      <c r="I19" s="12">
        <v>2</v>
      </c>
    </row>
    <row r="20" spans="2:9" ht="15" customHeight="1" x14ac:dyDescent="0.15">
      <c r="B20" s="9" t="s">
        <v>216</v>
      </c>
      <c r="C20" s="12">
        <f>SUM(LTBL_14102[総数／事業所数])</f>
        <v>4538</v>
      </c>
      <c r="E20" s="12">
        <f>SUBTOTAL(109,LTBL_14102[個人／事業所数])</f>
        <v>2010</v>
      </c>
      <c r="G20" s="12">
        <f>SUBTOTAL(109,LTBL_14102[法人／事業所数])</f>
        <v>2516</v>
      </c>
      <c r="I20" s="12">
        <f>SUBTOTAL(109,LTBL_14102[法人以外の団体／事業所数])</f>
        <v>12</v>
      </c>
    </row>
    <row r="21" spans="2:9" ht="15" customHeight="1" x14ac:dyDescent="0.15">
      <c r="E21" s="11">
        <f>LTBL_14102[[#Totals],[個人／事業所数]]/LTBL_14102[[#Totals],[総数／事業所数]]</f>
        <v>0.44292639929484356</v>
      </c>
      <c r="G21" s="11">
        <f>LTBL_14102[[#Totals],[法人／事業所数]]/LTBL_14102[[#Totals],[総数／事業所数]]</f>
        <v>0.55442926399294845</v>
      </c>
      <c r="I21" s="11">
        <f>LTBL_14102[[#Totals],[法人以外の団体／事業所数]]/LTBL_14102[[#Totals],[総数／事業所数]]</f>
        <v>2.644336712208021E-3</v>
      </c>
    </row>
    <row r="23" spans="2:9" ht="33" customHeight="1" x14ac:dyDescent="0.15">
      <c r="B23" t="s">
        <v>215</v>
      </c>
      <c r="C23" s="10" t="s">
        <v>78</v>
      </c>
      <c r="D23" s="10" t="s">
        <v>237</v>
      </c>
      <c r="E23" s="10" t="s">
        <v>80</v>
      </c>
      <c r="F23" s="10" t="s">
        <v>223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7</v>
      </c>
      <c r="D24" t="s">
        <v>217</v>
      </c>
      <c r="E24">
        <v>0</v>
      </c>
      <c r="F24" t="s">
        <v>219</v>
      </c>
      <c r="G24">
        <v>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650</v>
      </c>
      <c r="D29" s="8">
        <v>14.32</v>
      </c>
      <c r="E29" s="12">
        <v>417</v>
      </c>
      <c r="F29" s="8">
        <v>20.75</v>
      </c>
      <c r="G29" s="12">
        <v>232</v>
      </c>
      <c r="H29" s="8">
        <v>9.2200000000000006</v>
      </c>
      <c r="I29" s="12">
        <v>1</v>
      </c>
    </row>
    <row r="30" spans="2:9" ht="15" customHeight="1" x14ac:dyDescent="0.15">
      <c r="B30" t="s">
        <v>99</v>
      </c>
      <c r="C30" s="12">
        <v>527</v>
      </c>
      <c r="D30" s="8">
        <v>11.61</v>
      </c>
      <c r="E30" s="12">
        <v>427</v>
      </c>
      <c r="F30" s="8">
        <v>21.24</v>
      </c>
      <c r="G30" s="12">
        <v>100</v>
      </c>
      <c r="H30" s="8">
        <v>3.97</v>
      </c>
      <c r="I30" s="12">
        <v>0</v>
      </c>
    </row>
    <row r="31" spans="2:9" ht="15" customHeight="1" x14ac:dyDescent="0.15">
      <c r="B31" t="s">
        <v>100</v>
      </c>
      <c r="C31" s="12">
        <v>356</v>
      </c>
      <c r="D31" s="8">
        <v>7.84</v>
      </c>
      <c r="E31" s="12">
        <v>267</v>
      </c>
      <c r="F31" s="8">
        <v>13.28</v>
      </c>
      <c r="G31" s="12">
        <v>89</v>
      </c>
      <c r="H31" s="8">
        <v>3.54</v>
      </c>
      <c r="I31" s="12">
        <v>0</v>
      </c>
    </row>
    <row r="32" spans="2:9" ht="15" customHeight="1" x14ac:dyDescent="0.15">
      <c r="B32" t="s">
        <v>94</v>
      </c>
      <c r="C32" s="12">
        <v>297</v>
      </c>
      <c r="D32" s="8">
        <v>6.54</v>
      </c>
      <c r="E32" s="12">
        <v>141</v>
      </c>
      <c r="F32" s="8">
        <v>7.01</v>
      </c>
      <c r="G32" s="12">
        <v>156</v>
      </c>
      <c r="H32" s="8">
        <v>6.2</v>
      </c>
      <c r="I32" s="12">
        <v>0</v>
      </c>
    </row>
    <row r="33" spans="2:9" ht="15" customHeight="1" x14ac:dyDescent="0.15">
      <c r="B33" t="s">
        <v>86</v>
      </c>
      <c r="C33" s="12">
        <v>203</v>
      </c>
      <c r="D33" s="8">
        <v>4.47</v>
      </c>
      <c r="E33" s="12">
        <v>36</v>
      </c>
      <c r="F33" s="8">
        <v>1.79</v>
      </c>
      <c r="G33" s="12">
        <v>167</v>
      </c>
      <c r="H33" s="8">
        <v>6.64</v>
      </c>
      <c r="I33" s="12">
        <v>0</v>
      </c>
    </row>
    <row r="34" spans="2:9" ht="15" customHeight="1" x14ac:dyDescent="0.15">
      <c r="B34" t="s">
        <v>87</v>
      </c>
      <c r="C34" s="12">
        <v>202</v>
      </c>
      <c r="D34" s="8">
        <v>4.45</v>
      </c>
      <c r="E34" s="12">
        <v>14</v>
      </c>
      <c r="F34" s="8">
        <v>0.7</v>
      </c>
      <c r="G34" s="12">
        <v>188</v>
      </c>
      <c r="H34" s="8">
        <v>7.47</v>
      </c>
      <c r="I34" s="12">
        <v>0</v>
      </c>
    </row>
    <row r="35" spans="2:9" ht="15" customHeight="1" x14ac:dyDescent="0.15">
      <c r="B35" t="s">
        <v>92</v>
      </c>
      <c r="C35" s="12">
        <v>184</v>
      </c>
      <c r="D35" s="8">
        <v>4.05</v>
      </c>
      <c r="E35" s="12">
        <v>104</v>
      </c>
      <c r="F35" s="8">
        <v>5.17</v>
      </c>
      <c r="G35" s="12">
        <v>80</v>
      </c>
      <c r="H35" s="8">
        <v>3.18</v>
      </c>
      <c r="I35" s="12">
        <v>0</v>
      </c>
    </row>
    <row r="36" spans="2:9" ht="15" customHeight="1" x14ac:dyDescent="0.15">
      <c r="B36" t="s">
        <v>103</v>
      </c>
      <c r="C36" s="12">
        <v>181</v>
      </c>
      <c r="D36" s="8">
        <v>3.99</v>
      </c>
      <c r="E36" s="12">
        <v>146</v>
      </c>
      <c r="F36" s="8">
        <v>7.26</v>
      </c>
      <c r="G36" s="12">
        <v>35</v>
      </c>
      <c r="H36" s="8">
        <v>1.39</v>
      </c>
      <c r="I36" s="12">
        <v>0</v>
      </c>
    </row>
    <row r="37" spans="2:9" ht="15" customHeight="1" x14ac:dyDescent="0.15">
      <c r="B37" t="s">
        <v>85</v>
      </c>
      <c r="C37" s="12">
        <v>173</v>
      </c>
      <c r="D37" s="8">
        <v>3.81</v>
      </c>
      <c r="E37" s="12">
        <v>27</v>
      </c>
      <c r="F37" s="8">
        <v>1.34</v>
      </c>
      <c r="G37" s="12">
        <v>146</v>
      </c>
      <c r="H37" s="8">
        <v>5.8</v>
      </c>
      <c r="I37" s="12">
        <v>0</v>
      </c>
    </row>
    <row r="38" spans="2:9" ht="15" customHeight="1" x14ac:dyDescent="0.15">
      <c r="B38" t="s">
        <v>97</v>
      </c>
      <c r="C38" s="12">
        <v>168</v>
      </c>
      <c r="D38" s="8">
        <v>3.7</v>
      </c>
      <c r="E38" s="12">
        <v>95</v>
      </c>
      <c r="F38" s="8">
        <v>4.7300000000000004</v>
      </c>
      <c r="G38" s="12">
        <v>73</v>
      </c>
      <c r="H38" s="8">
        <v>2.9</v>
      </c>
      <c r="I38" s="12">
        <v>0</v>
      </c>
    </row>
    <row r="39" spans="2:9" ht="15" customHeight="1" x14ac:dyDescent="0.15">
      <c r="B39" t="s">
        <v>102</v>
      </c>
      <c r="C39" s="12">
        <v>147</v>
      </c>
      <c r="D39" s="8">
        <v>3.24</v>
      </c>
      <c r="E39" s="12">
        <v>84</v>
      </c>
      <c r="F39" s="8">
        <v>4.18</v>
      </c>
      <c r="G39" s="12">
        <v>63</v>
      </c>
      <c r="H39" s="8">
        <v>2.5</v>
      </c>
      <c r="I39" s="12">
        <v>0</v>
      </c>
    </row>
    <row r="40" spans="2:9" ht="15" customHeight="1" x14ac:dyDescent="0.15">
      <c r="B40" t="s">
        <v>98</v>
      </c>
      <c r="C40" s="12">
        <v>137</v>
      </c>
      <c r="D40" s="8">
        <v>3.02</v>
      </c>
      <c r="E40" s="12">
        <v>31</v>
      </c>
      <c r="F40" s="8">
        <v>1.54</v>
      </c>
      <c r="G40" s="12">
        <v>106</v>
      </c>
      <c r="H40" s="8">
        <v>4.21</v>
      </c>
      <c r="I40" s="12">
        <v>0</v>
      </c>
    </row>
    <row r="41" spans="2:9" ht="15" customHeight="1" x14ac:dyDescent="0.15">
      <c r="B41" t="s">
        <v>95</v>
      </c>
      <c r="C41" s="12">
        <v>129</v>
      </c>
      <c r="D41" s="8">
        <v>2.84</v>
      </c>
      <c r="E41" s="12">
        <v>16</v>
      </c>
      <c r="F41" s="8">
        <v>0.8</v>
      </c>
      <c r="G41" s="12">
        <v>113</v>
      </c>
      <c r="H41" s="8">
        <v>4.49</v>
      </c>
      <c r="I41" s="12">
        <v>0</v>
      </c>
    </row>
    <row r="42" spans="2:9" ht="15" customHeight="1" x14ac:dyDescent="0.15">
      <c r="B42" t="s">
        <v>91</v>
      </c>
      <c r="C42" s="12">
        <v>84</v>
      </c>
      <c r="D42" s="8">
        <v>1.85</v>
      </c>
      <c r="E42" s="12">
        <v>42</v>
      </c>
      <c r="F42" s="8">
        <v>2.09</v>
      </c>
      <c r="G42" s="12">
        <v>42</v>
      </c>
      <c r="H42" s="8">
        <v>1.67</v>
      </c>
      <c r="I42" s="12">
        <v>0</v>
      </c>
    </row>
    <row r="43" spans="2:9" ht="15" customHeight="1" x14ac:dyDescent="0.15">
      <c r="B43" t="s">
        <v>107</v>
      </c>
      <c r="C43" s="12">
        <v>83</v>
      </c>
      <c r="D43" s="8">
        <v>1.83</v>
      </c>
      <c r="E43" s="12">
        <v>4</v>
      </c>
      <c r="F43" s="8">
        <v>0.2</v>
      </c>
      <c r="G43" s="12">
        <v>79</v>
      </c>
      <c r="H43" s="8">
        <v>3.14</v>
      </c>
      <c r="I43" s="12">
        <v>0</v>
      </c>
    </row>
    <row r="44" spans="2:9" ht="15" customHeight="1" x14ac:dyDescent="0.15">
      <c r="B44" t="s">
        <v>93</v>
      </c>
      <c r="C44" s="12">
        <v>77</v>
      </c>
      <c r="D44" s="8">
        <v>1.7</v>
      </c>
      <c r="E44" s="12">
        <v>30</v>
      </c>
      <c r="F44" s="8">
        <v>1.49</v>
      </c>
      <c r="G44" s="12">
        <v>47</v>
      </c>
      <c r="H44" s="8">
        <v>1.87</v>
      </c>
      <c r="I44" s="12">
        <v>0</v>
      </c>
    </row>
    <row r="45" spans="2:9" ht="15" customHeight="1" x14ac:dyDescent="0.15">
      <c r="B45" t="s">
        <v>104</v>
      </c>
      <c r="C45" s="12">
        <v>72</v>
      </c>
      <c r="D45" s="8">
        <v>1.59</v>
      </c>
      <c r="E45" s="12">
        <v>4</v>
      </c>
      <c r="F45" s="8">
        <v>0.2</v>
      </c>
      <c r="G45" s="12">
        <v>66</v>
      </c>
      <c r="H45" s="8">
        <v>2.62</v>
      </c>
      <c r="I45" s="12">
        <v>2</v>
      </c>
    </row>
    <row r="46" spans="2:9" ht="15" customHeight="1" x14ac:dyDescent="0.15">
      <c r="B46" t="s">
        <v>90</v>
      </c>
      <c r="C46" s="12">
        <v>70</v>
      </c>
      <c r="D46" s="8">
        <v>1.54</v>
      </c>
      <c r="E46" s="12">
        <v>1</v>
      </c>
      <c r="F46" s="8">
        <v>0.05</v>
      </c>
      <c r="G46" s="12">
        <v>69</v>
      </c>
      <c r="H46" s="8">
        <v>2.74</v>
      </c>
      <c r="I46" s="12">
        <v>0</v>
      </c>
    </row>
    <row r="47" spans="2:9" ht="15" customHeight="1" x14ac:dyDescent="0.15">
      <c r="B47" t="s">
        <v>108</v>
      </c>
      <c r="C47" s="12">
        <v>61</v>
      </c>
      <c r="D47" s="8">
        <v>1.34</v>
      </c>
      <c r="E47" s="12">
        <v>1</v>
      </c>
      <c r="F47" s="8">
        <v>0.05</v>
      </c>
      <c r="G47" s="12">
        <v>52</v>
      </c>
      <c r="H47" s="8">
        <v>2.0699999999999998</v>
      </c>
      <c r="I47" s="12">
        <v>8</v>
      </c>
    </row>
    <row r="48" spans="2:9" ht="15" customHeight="1" x14ac:dyDescent="0.15">
      <c r="B48" t="s">
        <v>105</v>
      </c>
      <c r="C48" s="12">
        <v>57</v>
      </c>
      <c r="D48" s="8">
        <v>1.26</v>
      </c>
      <c r="E48" s="12">
        <v>6</v>
      </c>
      <c r="F48" s="8">
        <v>0.3</v>
      </c>
      <c r="G48" s="12">
        <v>51</v>
      </c>
      <c r="H48" s="8">
        <v>2.0299999999999998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455</v>
      </c>
      <c r="D52" s="8">
        <v>10.029999999999999</v>
      </c>
      <c r="E52" s="12">
        <v>361</v>
      </c>
      <c r="F52" s="8">
        <v>17.96</v>
      </c>
      <c r="G52" s="12">
        <v>94</v>
      </c>
      <c r="H52" s="8">
        <v>3.74</v>
      </c>
      <c r="I52" s="12">
        <v>0</v>
      </c>
    </row>
    <row r="53" spans="2:9" ht="15" customHeight="1" x14ac:dyDescent="0.15">
      <c r="B53" t="s">
        <v>155</v>
      </c>
      <c r="C53" s="12">
        <v>177</v>
      </c>
      <c r="D53" s="8">
        <v>3.9</v>
      </c>
      <c r="E53" s="12">
        <v>139</v>
      </c>
      <c r="F53" s="8">
        <v>6.92</v>
      </c>
      <c r="G53" s="12">
        <v>38</v>
      </c>
      <c r="H53" s="8">
        <v>1.51</v>
      </c>
      <c r="I53" s="12">
        <v>0</v>
      </c>
    </row>
    <row r="54" spans="2:9" ht="15" customHeight="1" x14ac:dyDescent="0.15">
      <c r="B54" t="s">
        <v>150</v>
      </c>
      <c r="C54" s="12">
        <v>155</v>
      </c>
      <c r="D54" s="8">
        <v>3.42</v>
      </c>
      <c r="E54" s="12">
        <v>120</v>
      </c>
      <c r="F54" s="8">
        <v>5.97</v>
      </c>
      <c r="G54" s="12">
        <v>35</v>
      </c>
      <c r="H54" s="8">
        <v>1.39</v>
      </c>
      <c r="I54" s="12">
        <v>0</v>
      </c>
    </row>
    <row r="55" spans="2:9" ht="15" customHeight="1" x14ac:dyDescent="0.15">
      <c r="B55" t="s">
        <v>151</v>
      </c>
      <c r="C55" s="12">
        <v>134</v>
      </c>
      <c r="D55" s="8">
        <v>2.95</v>
      </c>
      <c r="E55" s="12">
        <v>118</v>
      </c>
      <c r="F55" s="8">
        <v>5.87</v>
      </c>
      <c r="G55" s="12">
        <v>16</v>
      </c>
      <c r="H55" s="8">
        <v>0.64</v>
      </c>
      <c r="I55" s="12">
        <v>0</v>
      </c>
    </row>
    <row r="56" spans="2:9" ht="15" customHeight="1" x14ac:dyDescent="0.15">
      <c r="B56" t="s">
        <v>145</v>
      </c>
      <c r="C56" s="12">
        <v>111</v>
      </c>
      <c r="D56" s="8">
        <v>2.4500000000000002</v>
      </c>
      <c r="E56" s="12">
        <v>63</v>
      </c>
      <c r="F56" s="8">
        <v>3.13</v>
      </c>
      <c r="G56" s="12">
        <v>48</v>
      </c>
      <c r="H56" s="8">
        <v>1.91</v>
      </c>
      <c r="I56" s="12">
        <v>0</v>
      </c>
    </row>
    <row r="57" spans="2:9" ht="15" customHeight="1" x14ac:dyDescent="0.15">
      <c r="B57" t="s">
        <v>146</v>
      </c>
      <c r="C57" s="12">
        <v>108</v>
      </c>
      <c r="D57" s="8">
        <v>2.38</v>
      </c>
      <c r="E57" s="12">
        <v>14</v>
      </c>
      <c r="F57" s="8">
        <v>0.7</v>
      </c>
      <c r="G57" s="12">
        <v>94</v>
      </c>
      <c r="H57" s="8">
        <v>3.74</v>
      </c>
      <c r="I57" s="12">
        <v>0</v>
      </c>
    </row>
    <row r="58" spans="2:9" ht="15" customHeight="1" x14ac:dyDescent="0.15">
      <c r="B58" t="s">
        <v>156</v>
      </c>
      <c r="C58" s="12">
        <v>104</v>
      </c>
      <c r="D58" s="8">
        <v>2.29</v>
      </c>
      <c r="E58" s="12">
        <v>64</v>
      </c>
      <c r="F58" s="8">
        <v>3.18</v>
      </c>
      <c r="G58" s="12">
        <v>40</v>
      </c>
      <c r="H58" s="8">
        <v>1.59</v>
      </c>
      <c r="I58" s="12">
        <v>0</v>
      </c>
    </row>
    <row r="59" spans="2:9" ht="15" customHeight="1" x14ac:dyDescent="0.15">
      <c r="B59" t="s">
        <v>154</v>
      </c>
      <c r="C59" s="12">
        <v>100</v>
      </c>
      <c r="D59" s="8">
        <v>2.2000000000000002</v>
      </c>
      <c r="E59" s="12">
        <v>88</v>
      </c>
      <c r="F59" s="8">
        <v>4.38</v>
      </c>
      <c r="G59" s="12">
        <v>12</v>
      </c>
      <c r="H59" s="8">
        <v>0.48</v>
      </c>
      <c r="I59" s="12">
        <v>0</v>
      </c>
    </row>
    <row r="60" spans="2:9" ht="15" customHeight="1" x14ac:dyDescent="0.15">
      <c r="B60" t="s">
        <v>157</v>
      </c>
      <c r="C60" s="12">
        <v>97</v>
      </c>
      <c r="D60" s="8">
        <v>2.14</v>
      </c>
      <c r="E60" s="12">
        <v>77</v>
      </c>
      <c r="F60" s="8">
        <v>3.83</v>
      </c>
      <c r="G60" s="12">
        <v>20</v>
      </c>
      <c r="H60" s="8">
        <v>0.79</v>
      </c>
      <c r="I60" s="12">
        <v>0</v>
      </c>
    </row>
    <row r="61" spans="2:9" ht="15" customHeight="1" x14ac:dyDescent="0.15">
      <c r="B61" t="s">
        <v>152</v>
      </c>
      <c r="C61" s="12">
        <v>96</v>
      </c>
      <c r="D61" s="8">
        <v>2.12</v>
      </c>
      <c r="E61" s="12">
        <v>84</v>
      </c>
      <c r="F61" s="8">
        <v>4.18</v>
      </c>
      <c r="G61" s="12">
        <v>12</v>
      </c>
      <c r="H61" s="8">
        <v>0.48</v>
      </c>
      <c r="I61" s="12">
        <v>0</v>
      </c>
    </row>
    <row r="62" spans="2:9" ht="15" customHeight="1" x14ac:dyDescent="0.15">
      <c r="B62" t="s">
        <v>141</v>
      </c>
      <c r="C62" s="12">
        <v>87</v>
      </c>
      <c r="D62" s="8">
        <v>1.92</v>
      </c>
      <c r="E62" s="12">
        <v>4</v>
      </c>
      <c r="F62" s="8">
        <v>0.2</v>
      </c>
      <c r="G62" s="12">
        <v>83</v>
      </c>
      <c r="H62" s="8">
        <v>3.3</v>
      </c>
      <c r="I62" s="12">
        <v>0</v>
      </c>
    </row>
    <row r="63" spans="2:9" ht="15" customHeight="1" x14ac:dyDescent="0.15">
      <c r="B63" t="s">
        <v>159</v>
      </c>
      <c r="C63" s="12">
        <v>78</v>
      </c>
      <c r="D63" s="8">
        <v>1.72</v>
      </c>
      <c r="E63" s="12">
        <v>13</v>
      </c>
      <c r="F63" s="8">
        <v>0.65</v>
      </c>
      <c r="G63" s="12">
        <v>65</v>
      </c>
      <c r="H63" s="8">
        <v>2.58</v>
      </c>
      <c r="I63" s="12">
        <v>0</v>
      </c>
    </row>
    <row r="64" spans="2:9" ht="15" customHeight="1" x14ac:dyDescent="0.15">
      <c r="B64" t="s">
        <v>149</v>
      </c>
      <c r="C64" s="12">
        <v>77</v>
      </c>
      <c r="D64" s="8">
        <v>1.7</v>
      </c>
      <c r="E64" s="12">
        <v>7</v>
      </c>
      <c r="F64" s="8">
        <v>0.35</v>
      </c>
      <c r="G64" s="12">
        <v>69</v>
      </c>
      <c r="H64" s="8">
        <v>2.74</v>
      </c>
      <c r="I64" s="12">
        <v>1</v>
      </c>
    </row>
    <row r="65" spans="2:9" ht="15" customHeight="1" x14ac:dyDescent="0.15">
      <c r="B65" t="s">
        <v>143</v>
      </c>
      <c r="C65" s="12">
        <v>72</v>
      </c>
      <c r="D65" s="8">
        <v>1.59</v>
      </c>
      <c r="E65" s="12">
        <v>39</v>
      </c>
      <c r="F65" s="8">
        <v>1.94</v>
      </c>
      <c r="G65" s="12">
        <v>33</v>
      </c>
      <c r="H65" s="8">
        <v>1.31</v>
      </c>
      <c r="I65" s="12">
        <v>0</v>
      </c>
    </row>
    <row r="66" spans="2:9" ht="15" customHeight="1" x14ac:dyDescent="0.15">
      <c r="B66" t="s">
        <v>147</v>
      </c>
      <c r="C66" s="12">
        <v>67</v>
      </c>
      <c r="D66" s="8">
        <v>1.48</v>
      </c>
      <c r="E66" s="12">
        <v>18</v>
      </c>
      <c r="F66" s="8">
        <v>0.9</v>
      </c>
      <c r="G66" s="12">
        <v>49</v>
      </c>
      <c r="H66" s="8">
        <v>1.95</v>
      </c>
      <c r="I66" s="12">
        <v>0</v>
      </c>
    </row>
    <row r="67" spans="2:9" ht="15" customHeight="1" x14ac:dyDescent="0.15">
      <c r="B67" t="s">
        <v>163</v>
      </c>
      <c r="C67" s="12">
        <v>67</v>
      </c>
      <c r="D67" s="8">
        <v>1.48</v>
      </c>
      <c r="E67" s="12">
        <v>62</v>
      </c>
      <c r="F67" s="8">
        <v>3.08</v>
      </c>
      <c r="G67" s="12">
        <v>5</v>
      </c>
      <c r="H67" s="8">
        <v>0.2</v>
      </c>
      <c r="I67" s="12">
        <v>0</v>
      </c>
    </row>
    <row r="68" spans="2:9" ht="15" customHeight="1" x14ac:dyDescent="0.15">
      <c r="B68" t="s">
        <v>140</v>
      </c>
      <c r="C68" s="12">
        <v>63</v>
      </c>
      <c r="D68" s="8">
        <v>1.39</v>
      </c>
      <c r="E68" s="12">
        <v>8</v>
      </c>
      <c r="F68" s="8">
        <v>0.4</v>
      </c>
      <c r="G68" s="12">
        <v>55</v>
      </c>
      <c r="H68" s="8">
        <v>2.19</v>
      </c>
      <c r="I68" s="12">
        <v>0</v>
      </c>
    </row>
    <row r="69" spans="2:9" ht="15" customHeight="1" x14ac:dyDescent="0.15">
      <c r="B69" t="s">
        <v>158</v>
      </c>
      <c r="C69" s="12">
        <v>59</v>
      </c>
      <c r="D69" s="8">
        <v>1.3</v>
      </c>
      <c r="E69" s="12">
        <v>7</v>
      </c>
      <c r="F69" s="8">
        <v>0.35</v>
      </c>
      <c r="G69" s="12">
        <v>52</v>
      </c>
      <c r="H69" s="8">
        <v>2.0699999999999998</v>
      </c>
      <c r="I69" s="12">
        <v>0</v>
      </c>
    </row>
    <row r="70" spans="2:9" ht="15" customHeight="1" x14ac:dyDescent="0.15">
      <c r="B70" t="s">
        <v>162</v>
      </c>
      <c r="C70" s="12">
        <v>56</v>
      </c>
      <c r="D70" s="8">
        <v>1.23</v>
      </c>
      <c r="E70" s="12">
        <v>53</v>
      </c>
      <c r="F70" s="8">
        <v>2.64</v>
      </c>
      <c r="G70" s="12">
        <v>3</v>
      </c>
      <c r="H70" s="8">
        <v>0.12</v>
      </c>
      <c r="I70" s="12">
        <v>0</v>
      </c>
    </row>
    <row r="71" spans="2:9" ht="15" customHeight="1" x14ac:dyDescent="0.15">
      <c r="B71" t="s">
        <v>153</v>
      </c>
      <c r="C71" s="12">
        <v>55</v>
      </c>
      <c r="D71" s="8">
        <v>1.21</v>
      </c>
      <c r="E71" s="12">
        <v>28</v>
      </c>
      <c r="F71" s="8">
        <v>1.39</v>
      </c>
      <c r="G71" s="12">
        <v>27</v>
      </c>
      <c r="H71" s="8">
        <v>1.07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299</v>
      </c>
      <c r="D6" s="8">
        <v>8.92</v>
      </c>
      <c r="E6" s="12">
        <v>49</v>
      </c>
      <c r="F6" s="8">
        <v>4.47</v>
      </c>
      <c r="G6" s="12">
        <v>250</v>
      </c>
      <c r="H6" s="8">
        <v>11.09</v>
      </c>
      <c r="I6" s="12">
        <v>0</v>
      </c>
    </row>
    <row r="7" spans="2:9" ht="15" customHeight="1" x14ac:dyDescent="0.15">
      <c r="B7" t="s">
        <v>64</v>
      </c>
      <c r="C7" s="12">
        <v>153</v>
      </c>
      <c r="D7" s="8">
        <v>4.5599999999999996</v>
      </c>
      <c r="E7" s="12">
        <v>26</v>
      </c>
      <c r="F7" s="8">
        <v>2.37</v>
      </c>
      <c r="G7" s="12">
        <v>127</v>
      </c>
      <c r="H7" s="8">
        <v>5.63</v>
      </c>
      <c r="I7" s="12">
        <v>0</v>
      </c>
    </row>
    <row r="8" spans="2:9" ht="15" customHeight="1" x14ac:dyDescent="0.15">
      <c r="B8" t="s">
        <v>65</v>
      </c>
      <c r="C8" s="12">
        <v>3</v>
      </c>
      <c r="D8" s="8">
        <v>0.09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15">
      <c r="B9" t="s">
        <v>66</v>
      </c>
      <c r="C9" s="12">
        <v>71</v>
      </c>
      <c r="D9" s="8">
        <v>2.12</v>
      </c>
      <c r="E9" s="12">
        <v>2</v>
      </c>
      <c r="F9" s="8">
        <v>0.18</v>
      </c>
      <c r="G9" s="12">
        <v>69</v>
      </c>
      <c r="H9" s="8">
        <v>3.06</v>
      </c>
      <c r="I9" s="12">
        <v>0</v>
      </c>
    </row>
    <row r="10" spans="2:9" ht="15" customHeight="1" x14ac:dyDescent="0.15">
      <c r="B10" t="s">
        <v>67</v>
      </c>
      <c r="C10" s="12">
        <v>23</v>
      </c>
      <c r="D10" s="8">
        <v>0.69</v>
      </c>
      <c r="E10" s="12">
        <v>7</v>
      </c>
      <c r="F10" s="8">
        <v>0.64</v>
      </c>
      <c r="G10" s="12">
        <v>16</v>
      </c>
      <c r="H10" s="8">
        <v>0.71</v>
      </c>
      <c r="I10" s="12">
        <v>0</v>
      </c>
    </row>
    <row r="11" spans="2:9" ht="15" customHeight="1" x14ac:dyDescent="0.15">
      <c r="B11" t="s">
        <v>68</v>
      </c>
      <c r="C11" s="12">
        <v>1031</v>
      </c>
      <c r="D11" s="8">
        <v>30.76</v>
      </c>
      <c r="E11" s="12">
        <v>170</v>
      </c>
      <c r="F11" s="8">
        <v>15.51</v>
      </c>
      <c r="G11" s="12">
        <v>860</v>
      </c>
      <c r="H11" s="8">
        <v>38.15</v>
      </c>
      <c r="I11" s="12">
        <v>1</v>
      </c>
    </row>
    <row r="12" spans="2:9" ht="15" customHeight="1" x14ac:dyDescent="0.15">
      <c r="B12" t="s">
        <v>69</v>
      </c>
      <c r="C12" s="12">
        <v>20</v>
      </c>
      <c r="D12" s="8">
        <v>0.6</v>
      </c>
      <c r="E12" s="12">
        <v>1</v>
      </c>
      <c r="F12" s="8">
        <v>0.09</v>
      </c>
      <c r="G12" s="12">
        <v>19</v>
      </c>
      <c r="H12" s="8">
        <v>0.84</v>
      </c>
      <c r="I12" s="12">
        <v>0</v>
      </c>
    </row>
    <row r="13" spans="2:9" ht="15" customHeight="1" x14ac:dyDescent="0.15">
      <c r="B13" t="s">
        <v>70</v>
      </c>
      <c r="C13" s="12">
        <v>440</v>
      </c>
      <c r="D13" s="8">
        <v>13.13</v>
      </c>
      <c r="E13" s="12">
        <v>168</v>
      </c>
      <c r="F13" s="8">
        <v>15.33</v>
      </c>
      <c r="G13" s="12">
        <v>272</v>
      </c>
      <c r="H13" s="8">
        <v>12.07</v>
      </c>
      <c r="I13" s="12">
        <v>0</v>
      </c>
    </row>
    <row r="14" spans="2:9" ht="15" customHeight="1" x14ac:dyDescent="0.15">
      <c r="B14" t="s">
        <v>71</v>
      </c>
      <c r="C14" s="12">
        <v>305</v>
      </c>
      <c r="D14" s="8">
        <v>9.1</v>
      </c>
      <c r="E14" s="12">
        <v>143</v>
      </c>
      <c r="F14" s="8">
        <v>13.05</v>
      </c>
      <c r="G14" s="12">
        <v>162</v>
      </c>
      <c r="H14" s="8">
        <v>7.19</v>
      </c>
      <c r="I14" s="12">
        <v>0</v>
      </c>
    </row>
    <row r="15" spans="2:9" ht="15" customHeight="1" x14ac:dyDescent="0.15">
      <c r="B15" t="s">
        <v>72</v>
      </c>
      <c r="C15" s="12">
        <v>335</v>
      </c>
      <c r="D15" s="8">
        <v>9.99</v>
      </c>
      <c r="E15" s="12">
        <v>218</v>
      </c>
      <c r="F15" s="8">
        <v>19.89</v>
      </c>
      <c r="G15" s="12">
        <v>117</v>
      </c>
      <c r="H15" s="8">
        <v>5.19</v>
      </c>
      <c r="I15" s="12">
        <v>0</v>
      </c>
    </row>
    <row r="16" spans="2:9" ht="15" customHeight="1" x14ac:dyDescent="0.15">
      <c r="B16" t="s">
        <v>73</v>
      </c>
      <c r="C16" s="12">
        <v>286</v>
      </c>
      <c r="D16" s="8">
        <v>8.5299999999999994</v>
      </c>
      <c r="E16" s="12">
        <v>161</v>
      </c>
      <c r="F16" s="8">
        <v>14.69</v>
      </c>
      <c r="G16" s="12">
        <v>125</v>
      </c>
      <c r="H16" s="8">
        <v>5.55</v>
      </c>
      <c r="I16" s="12">
        <v>0</v>
      </c>
    </row>
    <row r="17" spans="2:9" ht="15" customHeight="1" x14ac:dyDescent="0.15">
      <c r="B17" t="s">
        <v>74</v>
      </c>
      <c r="C17" s="12">
        <v>99</v>
      </c>
      <c r="D17" s="8">
        <v>2.95</v>
      </c>
      <c r="E17" s="12">
        <v>49</v>
      </c>
      <c r="F17" s="8">
        <v>4.47</v>
      </c>
      <c r="G17" s="12">
        <v>50</v>
      </c>
      <c r="H17" s="8">
        <v>2.2200000000000002</v>
      </c>
      <c r="I17" s="12">
        <v>0</v>
      </c>
    </row>
    <row r="18" spans="2:9" ht="15" customHeight="1" x14ac:dyDescent="0.15">
      <c r="B18" t="s">
        <v>75</v>
      </c>
      <c r="C18" s="12">
        <v>124</v>
      </c>
      <c r="D18" s="8">
        <v>3.7</v>
      </c>
      <c r="E18" s="12">
        <v>85</v>
      </c>
      <c r="F18" s="8">
        <v>7.76</v>
      </c>
      <c r="G18" s="12">
        <v>39</v>
      </c>
      <c r="H18" s="8">
        <v>1.73</v>
      </c>
      <c r="I18" s="12">
        <v>0</v>
      </c>
    </row>
    <row r="19" spans="2:9" ht="15" customHeight="1" x14ac:dyDescent="0.15">
      <c r="B19" t="s">
        <v>76</v>
      </c>
      <c r="C19" s="12">
        <v>163</v>
      </c>
      <c r="D19" s="8">
        <v>4.8600000000000003</v>
      </c>
      <c r="E19" s="12">
        <v>17</v>
      </c>
      <c r="F19" s="8">
        <v>1.55</v>
      </c>
      <c r="G19" s="12">
        <v>145</v>
      </c>
      <c r="H19" s="8">
        <v>6.43</v>
      </c>
      <c r="I19" s="12">
        <v>1</v>
      </c>
    </row>
    <row r="20" spans="2:9" ht="15" customHeight="1" x14ac:dyDescent="0.15">
      <c r="B20" s="9" t="s">
        <v>216</v>
      </c>
      <c r="C20" s="12">
        <f>SUM(LTBL_14103[総数／事業所数])</f>
        <v>3352</v>
      </c>
      <c r="E20" s="12">
        <f>SUBTOTAL(109,LTBL_14103[個人／事業所数])</f>
        <v>1096</v>
      </c>
      <c r="G20" s="12">
        <f>SUBTOTAL(109,LTBL_14103[法人／事業所数])</f>
        <v>2254</v>
      </c>
      <c r="I20" s="12">
        <f>SUBTOTAL(109,LTBL_14103[法人以外の団体／事業所数])</f>
        <v>2</v>
      </c>
    </row>
    <row r="21" spans="2:9" ht="15" customHeight="1" x14ac:dyDescent="0.15">
      <c r="E21" s="11">
        <f>LTBL_14103[[#Totals],[個人／事業所数]]/LTBL_14103[[#Totals],[総数／事業所数]]</f>
        <v>0.32696897374701672</v>
      </c>
      <c r="G21" s="11">
        <f>LTBL_14103[[#Totals],[法人／事業所数]]/LTBL_14103[[#Totals],[総数／事業所数]]</f>
        <v>0.67243436754176611</v>
      </c>
      <c r="I21" s="11">
        <f>LTBL_14103[[#Totals],[法人以外の団体／事業所数]]/LTBL_14103[[#Totals],[総数／事業所数]]</f>
        <v>5.966587112171838E-4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224</v>
      </c>
      <c r="I23" s="10" t="s">
        <v>84</v>
      </c>
    </row>
    <row r="24" spans="2:9" ht="15" customHeight="1" x14ac:dyDescent="0.15">
      <c r="B24" t="s">
        <v>218</v>
      </c>
      <c r="C24">
        <v>2</v>
      </c>
      <c r="D24" t="s">
        <v>217</v>
      </c>
      <c r="E24">
        <v>0</v>
      </c>
      <c r="F24" t="s">
        <v>219</v>
      </c>
      <c r="G24">
        <v>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239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325</v>
      </c>
      <c r="D29" s="8">
        <v>9.6999999999999993</v>
      </c>
      <c r="E29" s="12">
        <v>165</v>
      </c>
      <c r="F29" s="8">
        <v>15.05</v>
      </c>
      <c r="G29" s="12">
        <v>160</v>
      </c>
      <c r="H29" s="8">
        <v>7.1</v>
      </c>
      <c r="I29" s="12">
        <v>0</v>
      </c>
    </row>
    <row r="30" spans="2:9" ht="15" customHeight="1" x14ac:dyDescent="0.15">
      <c r="B30" t="s">
        <v>99</v>
      </c>
      <c r="C30" s="12">
        <v>319</v>
      </c>
      <c r="D30" s="8">
        <v>9.52</v>
      </c>
      <c r="E30" s="12">
        <v>214</v>
      </c>
      <c r="F30" s="8">
        <v>19.53</v>
      </c>
      <c r="G30" s="12">
        <v>105</v>
      </c>
      <c r="H30" s="8">
        <v>4.66</v>
      </c>
      <c r="I30" s="12">
        <v>0</v>
      </c>
    </row>
    <row r="31" spans="2:9" ht="15" customHeight="1" x14ac:dyDescent="0.15">
      <c r="B31" t="s">
        <v>91</v>
      </c>
      <c r="C31" s="12">
        <v>290</v>
      </c>
      <c r="D31" s="8">
        <v>8.65</v>
      </c>
      <c r="E31" s="12">
        <v>19</v>
      </c>
      <c r="F31" s="8">
        <v>1.73</v>
      </c>
      <c r="G31" s="12">
        <v>271</v>
      </c>
      <c r="H31" s="8">
        <v>12.02</v>
      </c>
      <c r="I31" s="12">
        <v>0</v>
      </c>
    </row>
    <row r="32" spans="2:9" ht="15" customHeight="1" x14ac:dyDescent="0.15">
      <c r="B32" t="s">
        <v>94</v>
      </c>
      <c r="C32" s="12">
        <v>261</v>
      </c>
      <c r="D32" s="8">
        <v>7.79</v>
      </c>
      <c r="E32" s="12">
        <v>66</v>
      </c>
      <c r="F32" s="8">
        <v>6.02</v>
      </c>
      <c r="G32" s="12">
        <v>194</v>
      </c>
      <c r="H32" s="8">
        <v>8.61</v>
      </c>
      <c r="I32" s="12">
        <v>1</v>
      </c>
    </row>
    <row r="33" spans="2:9" ht="15" customHeight="1" x14ac:dyDescent="0.15">
      <c r="B33" t="s">
        <v>97</v>
      </c>
      <c r="C33" s="12">
        <v>216</v>
      </c>
      <c r="D33" s="8">
        <v>6.44</v>
      </c>
      <c r="E33" s="12">
        <v>126</v>
      </c>
      <c r="F33" s="8">
        <v>11.5</v>
      </c>
      <c r="G33" s="12">
        <v>90</v>
      </c>
      <c r="H33" s="8">
        <v>3.99</v>
      </c>
      <c r="I33" s="12">
        <v>0</v>
      </c>
    </row>
    <row r="34" spans="2:9" ht="15" customHeight="1" x14ac:dyDescent="0.15">
      <c r="B34" t="s">
        <v>100</v>
      </c>
      <c r="C34" s="12">
        <v>212</v>
      </c>
      <c r="D34" s="8">
        <v>6.32</v>
      </c>
      <c r="E34" s="12">
        <v>143</v>
      </c>
      <c r="F34" s="8">
        <v>13.05</v>
      </c>
      <c r="G34" s="12">
        <v>69</v>
      </c>
      <c r="H34" s="8">
        <v>3.06</v>
      </c>
      <c r="I34" s="12">
        <v>0</v>
      </c>
    </row>
    <row r="35" spans="2:9" ht="15" customHeight="1" x14ac:dyDescent="0.15">
      <c r="B35" t="s">
        <v>92</v>
      </c>
      <c r="C35" s="12">
        <v>173</v>
      </c>
      <c r="D35" s="8">
        <v>5.16</v>
      </c>
      <c r="E35" s="12">
        <v>56</v>
      </c>
      <c r="F35" s="8">
        <v>5.1100000000000003</v>
      </c>
      <c r="G35" s="12">
        <v>117</v>
      </c>
      <c r="H35" s="8">
        <v>5.19</v>
      </c>
      <c r="I35" s="12">
        <v>0</v>
      </c>
    </row>
    <row r="36" spans="2:9" ht="15" customHeight="1" x14ac:dyDescent="0.15">
      <c r="B36" t="s">
        <v>85</v>
      </c>
      <c r="C36" s="12">
        <v>113</v>
      </c>
      <c r="D36" s="8">
        <v>3.37</v>
      </c>
      <c r="E36" s="12">
        <v>14</v>
      </c>
      <c r="F36" s="8">
        <v>1.28</v>
      </c>
      <c r="G36" s="12">
        <v>99</v>
      </c>
      <c r="H36" s="8">
        <v>4.3899999999999997</v>
      </c>
      <c r="I36" s="12">
        <v>0</v>
      </c>
    </row>
    <row r="37" spans="2:9" ht="15" customHeight="1" x14ac:dyDescent="0.15">
      <c r="B37" t="s">
        <v>95</v>
      </c>
      <c r="C37" s="12">
        <v>105</v>
      </c>
      <c r="D37" s="8">
        <v>3.13</v>
      </c>
      <c r="E37" s="12">
        <v>3</v>
      </c>
      <c r="F37" s="8">
        <v>0.27</v>
      </c>
      <c r="G37" s="12">
        <v>102</v>
      </c>
      <c r="H37" s="8">
        <v>4.53</v>
      </c>
      <c r="I37" s="12">
        <v>0</v>
      </c>
    </row>
    <row r="38" spans="2:9" ht="15" customHeight="1" x14ac:dyDescent="0.15">
      <c r="B38" t="s">
        <v>103</v>
      </c>
      <c r="C38" s="12">
        <v>103</v>
      </c>
      <c r="D38" s="8">
        <v>3.07</v>
      </c>
      <c r="E38" s="12">
        <v>84</v>
      </c>
      <c r="F38" s="8">
        <v>7.66</v>
      </c>
      <c r="G38" s="12">
        <v>19</v>
      </c>
      <c r="H38" s="8">
        <v>0.84</v>
      </c>
      <c r="I38" s="12">
        <v>0</v>
      </c>
    </row>
    <row r="39" spans="2:9" ht="15" customHeight="1" x14ac:dyDescent="0.15">
      <c r="B39" t="s">
        <v>102</v>
      </c>
      <c r="C39" s="12">
        <v>99</v>
      </c>
      <c r="D39" s="8">
        <v>2.95</v>
      </c>
      <c r="E39" s="12">
        <v>49</v>
      </c>
      <c r="F39" s="8">
        <v>4.47</v>
      </c>
      <c r="G39" s="12">
        <v>50</v>
      </c>
      <c r="H39" s="8">
        <v>2.2200000000000002</v>
      </c>
      <c r="I39" s="12">
        <v>0</v>
      </c>
    </row>
    <row r="40" spans="2:9" ht="15" customHeight="1" x14ac:dyDescent="0.15">
      <c r="B40" t="s">
        <v>86</v>
      </c>
      <c r="C40" s="12">
        <v>93</v>
      </c>
      <c r="D40" s="8">
        <v>2.77</v>
      </c>
      <c r="E40" s="12">
        <v>25</v>
      </c>
      <c r="F40" s="8">
        <v>2.2799999999999998</v>
      </c>
      <c r="G40" s="12">
        <v>68</v>
      </c>
      <c r="H40" s="8">
        <v>3.02</v>
      </c>
      <c r="I40" s="12">
        <v>0</v>
      </c>
    </row>
    <row r="41" spans="2:9" ht="15" customHeight="1" x14ac:dyDescent="0.15">
      <c r="B41" t="s">
        <v>87</v>
      </c>
      <c r="C41" s="12">
        <v>93</v>
      </c>
      <c r="D41" s="8">
        <v>2.77</v>
      </c>
      <c r="E41" s="12">
        <v>10</v>
      </c>
      <c r="F41" s="8">
        <v>0.91</v>
      </c>
      <c r="G41" s="12">
        <v>83</v>
      </c>
      <c r="H41" s="8">
        <v>3.68</v>
      </c>
      <c r="I41" s="12">
        <v>0</v>
      </c>
    </row>
    <row r="42" spans="2:9" ht="15" customHeight="1" x14ac:dyDescent="0.15">
      <c r="B42" t="s">
        <v>104</v>
      </c>
      <c r="C42" s="12">
        <v>87</v>
      </c>
      <c r="D42" s="8">
        <v>2.6</v>
      </c>
      <c r="E42" s="12">
        <v>3</v>
      </c>
      <c r="F42" s="8">
        <v>0.27</v>
      </c>
      <c r="G42" s="12">
        <v>83</v>
      </c>
      <c r="H42" s="8">
        <v>3.68</v>
      </c>
      <c r="I42" s="12">
        <v>1</v>
      </c>
    </row>
    <row r="43" spans="2:9" ht="15" customHeight="1" x14ac:dyDescent="0.15">
      <c r="B43" t="s">
        <v>90</v>
      </c>
      <c r="C43" s="12">
        <v>83</v>
      </c>
      <c r="D43" s="8">
        <v>2.48</v>
      </c>
      <c r="E43" s="12">
        <v>1</v>
      </c>
      <c r="F43" s="8">
        <v>0.09</v>
      </c>
      <c r="G43" s="12">
        <v>82</v>
      </c>
      <c r="H43" s="8">
        <v>3.64</v>
      </c>
      <c r="I43" s="12">
        <v>0</v>
      </c>
    </row>
    <row r="44" spans="2:9" ht="15" customHeight="1" x14ac:dyDescent="0.15">
      <c r="B44" t="s">
        <v>98</v>
      </c>
      <c r="C44" s="12">
        <v>76</v>
      </c>
      <c r="D44" s="8">
        <v>2.27</v>
      </c>
      <c r="E44" s="12">
        <v>16</v>
      </c>
      <c r="F44" s="8">
        <v>1.46</v>
      </c>
      <c r="G44" s="12">
        <v>60</v>
      </c>
      <c r="H44" s="8">
        <v>2.66</v>
      </c>
      <c r="I44" s="12">
        <v>0</v>
      </c>
    </row>
    <row r="45" spans="2:9" ht="15" customHeight="1" x14ac:dyDescent="0.15">
      <c r="B45" t="s">
        <v>105</v>
      </c>
      <c r="C45" s="12">
        <v>61</v>
      </c>
      <c r="D45" s="8">
        <v>1.82</v>
      </c>
      <c r="E45" s="12">
        <v>6</v>
      </c>
      <c r="F45" s="8">
        <v>0.55000000000000004</v>
      </c>
      <c r="G45" s="12">
        <v>55</v>
      </c>
      <c r="H45" s="8">
        <v>2.44</v>
      </c>
      <c r="I45" s="12">
        <v>0</v>
      </c>
    </row>
    <row r="46" spans="2:9" ht="15" customHeight="1" x14ac:dyDescent="0.15">
      <c r="B46" t="s">
        <v>101</v>
      </c>
      <c r="C46" s="12">
        <v>59</v>
      </c>
      <c r="D46" s="8">
        <v>1.76</v>
      </c>
      <c r="E46" s="12">
        <v>11</v>
      </c>
      <c r="F46" s="8">
        <v>1</v>
      </c>
      <c r="G46" s="12">
        <v>48</v>
      </c>
      <c r="H46" s="8">
        <v>2.13</v>
      </c>
      <c r="I46" s="12">
        <v>0</v>
      </c>
    </row>
    <row r="47" spans="2:9" ht="15" customHeight="1" x14ac:dyDescent="0.15">
      <c r="B47" t="s">
        <v>109</v>
      </c>
      <c r="C47" s="12">
        <v>47</v>
      </c>
      <c r="D47" s="8">
        <v>1.4</v>
      </c>
      <c r="E47" s="12">
        <v>0</v>
      </c>
      <c r="F47" s="8">
        <v>0</v>
      </c>
      <c r="G47" s="12">
        <v>47</v>
      </c>
      <c r="H47" s="8">
        <v>2.09</v>
      </c>
      <c r="I47" s="12">
        <v>0</v>
      </c>
    </row>
    <row r="48" spans="2:9" ht="15" customHeight="1" x14ac:dyDescent="0.15">
      <c r="B48" t="s">
        <v>93</v>
      </c>
      <c r="C48" s="12">
        <v>45</v>
      </c>
      <c r="D48" s="8">
        <v>1.34</v>
      </c>
      <c r="E48" s="12">
        <v>15</v>
      </c>
      <c r="F48" s="8">
        <v>1.37</v>
      </c>
      <c r="G48" s="12">
        <v>30</v>
      </c>
      <c r="H48" s="8">
        <v>1.33</v>
      </c>
      <c r="I48" s="12">
        <v>0</v>
      </c>
    </row>
    <row r="51" spans="2:9" ht="33" customHeight="1" x14ac:dyDescent="0.15">
      <c r="B51" t="s">
        <v>240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175</v>
      </c>
      <c r="D52" s="8">
        <v>5.22</v>
      </c>
      <c r="E52" s="12">
        <v>131</v>
      </c>
      <c r="F52" s="8">
        <v>11.95</v>
      </c>
      <c r="G52" s="12">
        <v>44</v>
      </c>
      <c r="H52" s="8">
        <v>1.95</v>
      </c>
      <c r="I52" s="12">
        <v>0</v>
      </c>
    </row>
    <row r="53" spans="2:9" ht="15" customHeight="1" x14ac:dyDescent="0.15">
      <c r="B53" t="s">
        <v>142</v>
      </c>
      <c r="C53" s="12">
        <v>122</v>
      </c>
      <c r="D53" s="8">
        <v>3.64</v>
      </c>
      <c r="E53" s="12">
        <v>7</v>
      </c>
      <c r="F53" s="8">
        <v>0.64</v>
      </c>
      <c r="G53" s="12">
        <v>115</v>
      </c>
      <c r="H53" s="8">
        <v>5.0999999999999996</v>
      </c>
      <c r="I53" s="12">
        <v>0</v>
      </c>
    </row>
    <row r="54" spans="2:9" ht="15" customHeight="1" x14ac:dyDescent="0.15">
      <c r="B54" t="s">
        <v>145</v>
      </c>
      <c r="C54" s="12">
        <v>110</v>
      </c>
      <c r="D54" s="8">
        <v>3.28</v>
      </c>
      <c r="E54" s="12">
        <v>38</v>
      </c>
      <c r="F54" s="8">
        <v>3.47</v>
      </c>
      <c r="G54" s="12">
        <v>72</v>
      </c>
      <c r="H54" s="8">
        <v>3.19</v>
      </c>
      <c r="I54" s="12">
        <v>0</v>
      </c>
    </row>
    <row r="55" spans="2:9" ht="15" customHeight="1" x14ac:dyDescent="0.15">
      <c r="B55" t="s">
        <v>155</v>
      </c>
      <c r="C55" s="12">
        <v>102</v>
      </c>
      <c r="D55" s="8">
        <v>3.04</v>
      </c>
      <c r="E55" s="12">
        <v>75</v>
      </c>
      <c r="F55" s="8">
        <v>6.84</v>
      </c>
      <c r="G55" s="12">
        <v>27</v>
      </c>
      <c r="H55" s="8">
        <v>1.2</v>
      </c>
      <c r="I55" s="12">
        <v>0</v>
      </c>
    </row>
    <row r="56" spans="2:9" ht="15" customHeight="1" x14ac:dyDescent="0.15">
      <c r="B56" t="s">
        <v>165</v>
      </c>
      <c r="C56" s="12">
        <v>92</v>
      </c>
      <c r="D56" s="8">
        <v>2.74</v>
      </c>
      <c r="E56" s="12">
        <v>5</v>
      </c>
      <c r="F56" s="8">
        <v>0.46</v>
      </c>
      <c r="G56" s="12">
        <v>87</v>
      </c>
      <c r="H56" s="8">
        <v>3.86</v>
      </c>
      <c r="I56" s="12">
        <v>0</v>
      </c>
    </row>
    <row r="57" spans="2:9" ht="15" customHeight="1" x14ac:dyDescent="0.15">
      <c r="B57" t="s">
        <v>150</v>
      </c>
      <c r="C57" s="12">
        <v>90</v>
      </c>
      <c r="D57" s="8">
        <v>2.68</v>
      </c>
      <c r="E57" s="12">
        <v>57</v>
      </c>
      <c r="F57" s="8">
        <v>5.2</v>
      </c>
      <c r="G57" s="12">
        <v>33</v>
      </c>
      <c r="H57" s="8">
        <v>1.46</v>
      </c>
      <c r="I57" s="12">
        <v>0</v>
      </c>
    </row>
    <row r="58" spans="2:9" ht="15" customHeight="1" x14ac:dyDescent="0.15">
      <c r="B58" t="s">
        <v>151</v>
      </c>
      <c r="C58" s="12">
        <v>76</v>
      </c>
      <c r="D58" s="8">
        <v>2.27</v>
      </c>
      <c r="E58" s="12">
        <v>47</v>
      </c>
      <c r="F58" s="8">
        <v>4.29</v>
      </c>
      <c r="G58" s="12">
        <v>29</v>
      </c>
      <c r="H58" s="8">
        <v>1.29</v>
      </c>
      <c r="I58" s="12">
        <v>0</v>
      </c>
    </row>
    <row r="59" spans="2:9" ht="15" customHeight="1" x14ac:dyDescent="0.15">
      <c r="B59" t="s">
        <v>157</v>
      </c>
      <c r="C59" s="12">
        <v>75</v>
      </c>
      <c r="D59" s="8">
        <v>2.2400000000000002</v>
      </c>
      <c r="E59" s="12">
        <v>62</v>
      </c>
      <c r="F59" s="8">
        <v>5.66</v>
      </c>
      <c r="G59" s="12">
        <v>13</v>
      </c>
      <c r="H59" s="8">
        <v>0.57999999999999996</v>
      </c>
      <c r="I59" s="12">
        <v>0</v>
      </c>
    </row>
    <row r="60" spans="2:9" ht="15" customHeight="1" x14ac:dyDescent="0.15">
      <c r="B60" t="s">
        <v>146</v>
      </c>
      <c r="C60" s="12">
        <v>73</v>
      </c>
      <c r="D60" s="8">
        <v>2.1800000000000002</v>
      </c>
      <c r="E60" s="12">
        <v>3</v>
      </c>
      <c r="F60" s="8">
        <v>0.27</v>
      </c>
      <c r="G60" s="12">
        <v>70</v>
      </c>
      <c r="H60" s="8">
        <v>3.11</v>
      </c>
      <c r="I60" s="12">
        <v>0</v>
      </c>
    </row>
    <row r="61" spans="2:9" ht="15" customHeight="1" x14ac:dyDescent="0.15">
      <c r="B61" t="s">
        <v>143</v>
      </c>
      <c r="C61" s="12">
        <v>72</v>
      </c>
      <c r="D61" s="8">
        <v>2.15</v>
      </c>
      <c r="E61" s="12">
        <v>26</v>
      </c>
      <c r="F61" s="8">
        <v>2.37</v>
      </c>
      <c r="G61" s="12">
        <v>46</v>
      </c>
      <c r="H61" s="8">
        <v>2.04</v>
      </c>
      <c r="I61" s="12">
        <v>0</v>
      </c>
    </row>
    <row r="62" spans="2:9" ht="15" customHeight="1" x14ac:dyDescent="0.15">
      <c r="B62" t="s">
        <v>147</v>
      </c>
      <c r="C62" s="12">
        <v>72</v>
      </c>
      <c r="D62" s="8">
        <v>2.15</v>
      </c>
      <c r="E62" s="12">
        <v>15</v>
      </c>
      <c r="F62" s="8">
        <v>1.37</v>
      </c>
      <c r="G62" s="12">
        <v>57</v>
      </c>
      <c r="H62" s="8">
        <v>2.5299999999999998</v>
      </c>
      <c r="I62" s="12">
        <v>0</v>
      </c>
    </row>
    <row r="63" spans="2:9" ht="15" customHeight="1" x14ac:dyDescent="0.15">
      <c r="B63" t="s">
        <v>152</v>
      </c>
      <c r="C63" s="12">
        <v>72</v>
      </c>
      <c r="D63" s="8">
        <v>2.15</v>
      </c>
      <c r="E63" s="12">
        <v>59</v>
      </c>
      <c r="F63" s="8">
        <v>5.38</v>
      </c>
      <c r="G63" s="12">
        <v>13</v>
      </c>
      <c r="H63" s="8">
        <v>0.57999999999999996</v>
      </c>
      <c r="I63" s="12">
        <v>0</v>
      </c>
    </row>
    <row r="64" spans="2:9" ht="15" customHeight="1" x14ac:dyDescent="0.15">
      <c r="B64" t="s">
        <v>162</v>
      </c>
      <c r="C64" s="12">
        <v>68</v>
      </c>
      <c r="D64" s="8">
        <v>2.0299999999999998</v>
      </c>
      <c r="E64" s="12">
        <v>62</v>
      </c>
      <c r="F64" s="8">
        <v>5.66</v>
      </c>
      <c r="G64" s="12">
        <v>6</v>
      </c>
      <c r="H64" s="8">
        <v>0.27</v>
      </c>
      <c r="I64" s="12">
        <v>0</v>
      </c>
    </row>
    <row r="65" spans="2:9" ht="15" customHeight="1" x14ac:dyDescent="0.15">
      <c r="B65" t="s">
        <v>156</v>
      </c>
      <c r="C65" s="12">
        <v>68</v>
      </c>
      <c r="D65" s="8">
        <v>2.0299999999999998</v>
      </c>
      <c r="E65" s="12">
        <v>40</v>
      </c>
      <c r="F65" s="8">
        <v>3.65</v>
      </c>
      <c r="G65" s="12">
        <v>28</v>
      </c>
      <c r="H65" s="8">
        <v>1.24</v>
      </c>
      <c r="I65" s="12">
        <v>0</v>
      </c>
    </row>
    <row r="66" spans="2:9" ht="15" customHeight="1" x14ac:dyDescent="0.15">
      <c r="B66" t="s">
        <v>154</v>
      </c>
      <c r="C66" s="12">
        <v>52</v>
      </c>
      <c r="D66" s="8">
        <v>1.55</v>
      </c>
      <c r="E66" s="12">
        <v>46</v>
      </c>
      <c r="F66" s="8">
        <v>4.2</v>
      </c>
      <c r="G66" s="12">
        <v>6</v>
      </c>
      <c r="H66" s="8">
        <v>0.27</v>
      </c>
      <c r="I66" s="12">
        <v>0</v>
      </c>
    </row>
    <row r="67" spans="2:9" ht="15" customHeight="1" x14ac:dyDescent="0.15">
      <c r="B67" t="s">
        <v>149</v>
      </c>
      <c r="C67" s="12">
        <v>47</v>
      </c>
      <c r="D67" s="8">
        <v>1.4</v>
      </c>
      <c r="E67" s="12">
        <v>2</v>
      </c>
      <c r="F67" s="8">
        <v>0.18</v>
      </c>
      <c r="G67" s="12">
        <v>45</v>
      </c>
      <c r="H67" s="8">
        <v>2</v>
      </c>
      <c r="I67" s="12">
        <v>0</v>
      </c>
    </row>
    <row r="68" spans="2:9" ht="15" customHeight="1" x14ac:dyDescent="0.15">
      <c r="B68" t="s">
        <v>159</v>
      </c>
      <c r="C68" s="12">
        <v>47</v>
      </c>
      <c r="D68" s="8">
        <v>1.4</v>
      </c>
      <c r="E68" s="12">
        <v>9</v>
      </c>
      <c r="F68" s="8">
        <v>0.82</v>
      </c>
      <c r="G68" s="12">
        <v>38</v>
      </c>
      <c r="H68" s="8">
        <v>1.69</v>
      </c>
      <c r="I68" s="12">
        <v>0</v>
      </c>
    </row>
    <row r="69" spans="2:9" ht="15" customHeight="1" x14ac:dyDescent="0.15">
      <c r="B69" t="s">
        <v>166</v>
      </c>
      <c r="C69" s="12">
        <v>44</v>
      </c>
      <c r="D69" s="8">
        <v>1.31</v>
      </c>
      <c r="E69" s="12">
        <v>8</v>
      </c>
      <c r="F69" s="8">
        <v>0.73</v>
      </c>
      <c r="G69" s="12">
        <v>36</v>
      </c>
      <c r="H69" s="8">
        <v>1.6</v>
      </c>
      <c r="I69" s="12">
        <v>0</v>
      </c>
    </row>
    <row r="70" spans="2:9" ht="15" customHeight="1" x14ac:dyDescent="0.15">
      <c r="B70" t="s">
        <v>164</v>
      </c>
      <c r="C70" s="12">
        <v>43</v>
      </c>
      <c r="D70" s="8">
        <v>1.28</v>
      </c>
      <c r="E70" s="12">
        <v>0</v>
      </c>
      <c r="F70" s="8">
        <v>0</v>
      </c>
      <c r="G70" s="12">
        <v>43</v>
      </c>
      <c r="H70" s="8">
        <v>1.91</v>
      </c>
      <c r="I70" s="12">
        <v>0</v>
      </c>
    </row>
    <row r="71" spans="2:9" ht="15" customHeight="1" x14ac:dyDescent="0.15">
      <c r="B71" t="s">
        <v>161</v>
      </c>
      <c r="C71" s="12">
        <v>43</v>
      </c>
      <c r="D71" s="8">
        <v>1.28</v>
      </c>
      <c r="E71" s="12">
        <v>4</v>
      </c>
      <c r="F71" s="8">
        <v>0.36</v>
      </c>
      <c r="G71" s="12">
        <v>39</v>
      </c>
      <c r="H71" s="8">
        <v>1.73</v>
      </c>
      <c r="I71" s="12">
        <v>0</v>
      </c>
    </row>
    <row r="72" spans="2:9" ht="15" customHeight="1" x14ac:dyDescent="0.15">
      <c r="B72" t="s">
        <v>167</v>
      </c>
      <c r="C72" s="12">
        <v>43</v>
      </c>
      <c r="D72" s="8">
        <v>1.28</v>
      </c>
      <c r="E72" s="12">
        <v>2</v>
      </c>
      <c r="F72" s="8">
        <v>0.18</v>
      </c>
      <c r="G72" s="12">
        <v>40</v>
      </c>
      <c r="H72" s="8">
        <v>1.77</v>
      </c>
      <c r="I72" s="12">
        <v>1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455</v>
      </c>
      <c r="D6" s="8">
        <v>6.42</v>
      </c>
      <c r="E6" s="12">
        <v>48</v>
      </c>
      <c r="F6" s="8">
        <v>1.68</v>
      </c>
      <c r="G6" s="12">
        <v>407</v>
      </c>
      <c r="H6" s="8">
        <v>9.67</v>
      </c>
      <c r="I6" s="12">
        <v>0</v>
      </c>
    </row>
    <row r="7" spans="2:9" ht="15" customHeight="1" x14ac:dyDescent="0.15">
      <c r="B7" t="s">
        <v>64</v>
      </c>
      <c r="C7" s="12">
        <v>187</v>
      </c>
      <c r="D7" s="8">
        <v>2.64</v>
      </c>
      <c r="E7" s="12">
        <v>33</v>
      </c>
      <c r="F7" s="8">
        <v>1.1599999999999999</v>
      </c>
      <c r="G7" s="12">
        <v>154</v>
      </c>
      <c r="H7" s="8">
        <v>3.66</v>
      </c>
      <c r="I7" s="12">
        <v>0</v>
      </c>
    </row>
    <row r="8" spans="2:9" ht="15" customHeight="1" x14ac:dyDescent="0.15">
      <c r="B8" t="s">
        <v>65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0.05</v>
      </c>
      <c r="I8" s="12">
        <v>0</v>
      </c>
    </row>
    <row r="9" spans="2:9" ht="15" customHeight="1" x14ac:dyDescent="0.15">
      <c r="B9" t="s">
        <v>66</v>
      </c>
      <c r="C9" s="12">
        <v>134</v>
      </c>
      <c r="D9" s="8">
        <v>1.89</v>
      </c>
      <c r="E9" s="12">
        <v>7</v>
      </c>
      <c r="F9" s="8">
        <v>0.25</v>
      </c>
      <c r="G9" s="12">
        <v>126</v>
      </c>
      <c r="H9" s="8">
        <v>2.99</v>
      </c>
      <c r="I9" s="12">
        <v>1</v>
      </c>
    </row>
    <row r="10" spans="2:9" ht="15" customHeight="1" x14ac:dyDescent="0.15">
      <c r="B10" t="s">
        <v>67</v>
      </c>
      <c r="C10" s="12">
        <v>228</v>
      </c>
      <c r="D10" s="8">
        <v>3.22</v>
      </c>
      <c r="E10" s="12">
        <v>10</v>
      </c>
      <c r="F10" s="8">
        <v>0.35</v>
      </c>
      <c r="G10" s="12">
        <v>216</v>
      </c>
      <c r="H10" s="8">
        <v>5.13</v>
      </c>
      <c r="I10" s="12">
        <v>2</v>
      </c>
    </row>
    <row r="11" spans="2:9" ht="15" customHeight="1" x14ac:dyDescent="0.15">
      <c r="B11" t="s">
        <v>68</v>
      </c>
      <c r="C11" s="12">
        <v>1569</v>
      </c>
      <c r="D11" s="8">
        <v>22.13</v>
      </c>
      <c r="E11" s="12">
        <v>377</v>
      </c>
      <c r="F11" s="8">
        <v>13.2</v>
      </c>
      <c r="G11" s="12">
        <v>1190</v>
      </c>
      <c r="H11" s="8">
        <v>28.26</v>
      </c>
      <c r="I11" s="12">
        <v>2</v>
      </c>
    </row>
    <row r="12" spans="2:9" ht="15" customHeight="1" x14ac:dyDescent="0.15">
      <c r="B12" t="s">
        <v>69</v>
      </c>
      <c r="C12" s="12">
        <v>76</v>
      </c>
      <c r="D12" s="8">
        <v>1.07</v>
      </c>
      <c r="E12" s="12">
        <v>4</v>
      </c>
      <c r="F12" s="8">
        <v>0.14000000000000001</v>
      </c>
      <c r="G12" s="12">
        <v>72</v>
      </c>
      <c r="H12" s="8">
        <v>1.71</v>
      </c>
      <c r="I12" s="12">
        <v>0</v>
      </c>
    </row>
    <row r="13" spans="2:9" ht="15" customHeight="1" x14ac:dyDescent="0.15">
      <c r="B13" t="s">
        <v>70</v>
      </c>
      <c r="C13" s="12">
        <v>870</v>
      </c>
      <c r="D13" s="8">
        <v>12.27</v>
      </c>
      <c r="E13" s="12">
        <v>242</v>
      </c>
      <c r="F13" s="8">
        <v>8.4700000000000006</v>
      </c>
      <c r="G13" s="12">
        <v>625</v>
      </c>
      <c r="H13" s="8">
        <v>14.84</v>
      </c>
      <c r="I13" s="12">
        <v>3</v>
      </c>
    </row>
    <row r="14" spans="2:9" ht="15" customHeight="1" x14ac:dyDescent="0.15">
      <c r="B14" t="s">
        <v>71</v>
      </c>
      <c r="C14" s="12">
        <v>896</v>
      </c>
      <c r="D14" s="8">
        <v>12.64</v>
      </c>
      <c r="E14" s="12">
        <v>516</v>
      </c>
      <c r="F14" s="8">
        <v>18.07</v>
      </c>
      <c r="G14" s="12">
        <v>380</v>
      </c>
      <c r="H14" s="8">
        <v>9.02</v>
      </c>
      <c r="I14" s="12">
        <v>0</v>
      </c>
    </row>
    <row r="15" spans="2:9" ht="15" customHeight="1" x14ac:dyDescent="0.15">
      <c r="B15" t="s">
        <v>72</v>
      </c>
      <c r="C15" s="12">
        <v>1424</v>
      </c>
      <c r="D15" s="8">
        <v>20.09</v>
      </c>
      <c r="E15" s="12">
        <v>1007</v>
      </c>
      <c r="F15" s="8">
        <v>35.26</v>
      </c>
      <c r="G15" s="12">
        <v>417</v>
      </c>
      <c r="H15" s="8">
        <v>9.9</v>
      </c>
      <c r="I15" s="12">
        <v>0</v>
      </c>
    </row>
    <row r="16" spans="2:9" ht="15" customHeight="1" x14ac:dyDescent="0.15">
      <c r="B16" t="s">
        <v>73</v>
      </c>
      <c r="C16" s="12">
        <v>564</v>
      </c>
      <c r="D16" s="8">
        <v>7.96</v>
      </c>
      <c r="E16" s="12">
        <v>329</v>
      </c>
      <c r="F16" s="8">
        <v>11.52</v>
      </c>
      <c r="G16" s="12">
        <v>235</v>
      </c>
      <c r="H16" s="8">
        <v>5.58</v>
      </c>
      <c r="I16" s="12">
        <v>0</v>
      </c>
    </row>
    <row r="17" spans="2:9" ht="15" customHeight="1" x14ac:dyDescent="0.15">
      <c r="B17" t="s">
        <v>74</v>
      </c>
      <c r="C17" s="12">
        <v>136</v>
      </c>
      <c r="D17" s="8">
        <v>1.92</v>
      </c>
      <c r="E17" s="12">
        <v>70</v>
      </c>
      <c r="F17" s="8">
        <v>2.4500000000000002</v>
      </c>
      <c r="G17" s="12">
        <v>64</v>
      </c>
      <c r="H17" s="8">
        <v>1.52</v>
      </c>
      <c r="I17" s="12">
        <v>2</v>
      </c>
    </row>
    <row r="18" spans="2:9" ht="15" customHeight="1" x14ac:dyDescent="0.15">
      <c r="B18" t="s">
        <v>75</v>
      </c>
      <c r="C18" s="12">
        <v>304</v>
      </c>
      <c r="D18" s="8">
        <v>4.29</v>
      </c>
      <c r="E18" s="12">
        <v>191</v>
      </c>
      <c r="F18" s="8">
        <v>6.69</v>
      </c>
      <c r="G18" s="12">
        <v>110</v>
      </c>
      <c r="H18" s="8">
        <v>2.61</v>
      </c>
      <c r="I18" s="12">
        <v>3</v>
      </c>
    </row>
    <row r="19" spans="2:9" ht="15" customHeight="1" x14ac:dyDescent="0.15">
      <c r="B19" t="s">
        <v>76</v>
      </c>
      <c r="C19" s="12">
        <v>244</v>
      </c>
      <c r="D19" s="8">
        <v>3.44</v>
      </c>
      <c r="E19" s="12">
        <v>22</v>
      </c>
      <c r="F19" s="8">
        <v>0.77</v>
      </c>
      <c r="G19" s="12">
        <v>213</v>
      </c>
      <c r="H19" s="8">
        <v>5.0599999999999996</v>
      </c>
      <c r="I19" s="12">
        <v>9</v>
      </c>
    </row>
    <row r="20" spans="2:9" ht="15" customHeight="1" x14ac:dyDescent="0.15">
      <c r="B20" s="9" t="s">
        <v>216</v>
      </c>
      <c r="C20" s="12">
        <f>SUM(LTBL_14104[総数／事業所数])</f>
        <v>7089</v>
      </c>
      <c r="E20" s="12">
        <f>SUBTOTAL(109,LTBL_14104[個人／事業所数])</f>
        <v>2856</v>
      </c>
      <c r="G20" s="12">
        <f>SUBTOTAL(109,LTBL_14104[法人／事業所数])</f>
        <v>4211</v>
      </c>
      <c r="I20" s="12">
        <f>SUBTOTAL(109,LTBL_14104[法人以外の団体／事業所数])</f>
        <v>22</v>
      </c>
    </row>
    <row r="21" spans="2:9" ht="15" customHeight="1" x14ac:dyDescent="0.15">
      <c r="E21" s="11">
        <f>LTBL_14104[[#Totals],[個人／事業所数]]/LTBL_14104[[#Totals],[総数／事業所数]]</f>
        <v>0.40287769784172661</v>
      </c>
      <c r="G21" s="11">
        <f>LTBL_14104[[#Totals],[法人／事業所数]]/LTBL_14104[[#Totals],[総数／事業所数]]</f>
        <v>0.59401890252503875</v>
      </c>
      <c r="I21" s="11">
        <f>LTBL_14104[[#Totals],[法人以外の団体／事業所数]]/LTBL_14104[[#Totals],[総数／事業所数]]</f>
        <v>3.1033996332345886E-3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242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244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1322</v>
      </c>
      <c r="D29" s="8">
        <v>18.649999999999999</v>
      </c>
      <c r="E29" s="12">
        <v>976</v>
      </c>
      <c r="F29" s="8">
        <v>34.17</v>
      </c>
      <c r="G29" s="12">
        <v>346</v>
      </c>
      <c r="H29" s="8">
        <v>8.2200000000000006</v>
      </c>
      <c r="I29" s="12">
        <v>0</v>
      </c>
    </row>
    <row r="30" spans="2:9" ht="15" customHeight="1" x14ac:dyDescent="0.15">
      <c r="B30" t="s">
        <v>97</v>
      </c>
      <c r="C30" s="12">
        <v>636</v>
      </c>
      <c r="D30" s="8">
        <v>8.9700000000000006</v>
      </c>
      <c r="E30" s="12">
        <v>467</v>
      </c>
      <c r="F30" s="8">
        <v>16.350000000000001</v>
      </c>
      <c r="G30" s="12">
        <v>169</v>
      </c>
      <c r="H30" s="8">
        <v>4.01</v>
      </c>
      <c r="I30" s="12">
        <v>0</v>
      </c>
    </row>
    <row r="31" spans="2:9" ht="15" customHeight="1" x14ac:dyDescent="0.15">
      <c r="B31" t="s">
        <v>96</v>
      </c>
      <c r="C31" s="12">
        <v>625</v>
      </c>
      <c r="D31" s="8">
        <v>8.82</v>
      </c>
      <c r="E31" s="12">
        <v>230</v>
      </c>
      <c r="F31" s="8">
        <v>8.0500000000000007</v>
      </c>
      <c r="G31" s="12">
        <v>392</v>
      </c>
      <c r="H31" s="8">
        <v>9.31</v>
      </c>
      <c r="I31" s="12">
        <v>3</v>
      </c>
    </row>
    <row r="32" spans="2:9" ht="15" customHeight="1" x14ac:dyDescent="0.15">
      <c r="B32" t="s">
        <v>94</v>
      </c>
      <c r="C32" s="12">
        <v>476</v>
      </c>
      <c r="D32" s="8">
        <v>6.71</v>
      </c>
      <c r="E32" s="12">
        <v>163</v>
      </c>
      <c r="F32" s="8">
        <v>5.71</v>
      </c>
      <c r="G32" s="12">
        <v>311</v>
      </c>
      <c r="H32" s="8">
        <v>7.39</v>
      </c>
      <c r="I32" s="12">
        <v>2</v>
      </c>
    </row>
    <row r="33" spans="2:9" ht="15" customHeight="1" x14ac:dyDescent="0.15">
      <c r="B33" t="s">
        <v>100</v>
      </c>
      <c r="C33" s="12">
        <v>406</v>
      </c>
      <c r="D33" s="8">
        <v>5.73</v>
      </c>
      <c r="E33" s="12">
        <v>288</v>
      </c>
      <c r="F33" s="8">
        <v>10.08</v>
      </c>
      <c r="G33" s="12">
        <v>118</v>
      </c>
      <c r="H33" s="8">
        <v>2.8</v>
      </c>
      <c r="I33" s="12">
        <v>0</v>
      </c>
    </row>
    <row r="34" spans="2:9" ht="15" customHeight="1" x14ac:dyDescent="0.15">
      <c r="B34" t="s">
        <v>91</v>
      </c>
      <c r="C34" s="12">
        <v>317</v>
      </c>
      <c r="D34" s="8">
        <v>4.47</v>
      </c>
      <c r="E34" s="12">
        <v>85</v>
      </c>
      <c r="F34" s="8">
        <v>2.98</v>
      </c>
      <c r="G34" s="12">
        <v>232</v>
      </c>
      <c r="H34" s="8">
        <v>5.51</v>
      </c>
      <c r="I34" s="12">
        <v>0</v>
      </c>
    </row>
    <row r="35" spans="2:9" ht="15" customHeight="1" x14ac:dyDescent="0.15">
      <c r="B35" t="s">
        <v>103</v>
      </c>
      <c r="C35" s="12">
        <v>242</v>
      </c>
      <c r="D35" s="8">
        <v>3.41</v>
      </c>
      <c r="E35" s="12">
        <v>189</v>
      </c>
      <c r="F35" s="8">
        <v>6.62</v>
      </c>
      <c r="G35" s="12">
        <v>53</v>
      </c>
      <c r="H35" s="8">
        <v>1.26</v>
      </c>
      <c r="I35" s="12">
        <v>0</v>
      </c>
    </row>
    <row r="36" spans="2:9" ht="15" customHeight="1" x14ac:dyDescent="0.15">
      <c r="B36" t="s">
        <v>92</v>
      </c>
      <c r="C36" s="12">
        <v>229</v>
      </c>
      <c r="D36" s="8">
        <v>3.23</v>
      </c>
      <c r="E36" s="12">
        <v>83</v>
      </c>
      <c r="F36" s="8">
        <v>2.91</v>
      </c>
      <c r="G36" s="12">
        <v>146</v>
      </c>
      <c r="H36" s="8">
        <v>3.47</v>
      </c>
      <c r="I36" s="12">
        <v>0</v>
      </c>
    </row>
    <row r="37" spans="2:9" ht="15" customHeight="1" x14ac:dyDescent="0.15">
      <c r="B37" t="s">
        <v>98</v>
      </c>
      <c r="C37" s="12">
        <v>226</v>
      </c>
      <c r="D37" s="8">
        <v>3.19</v>
      </c>
      <c r="E37" s="12">
        <v>47</v>
      </c>
      <c r="F37" s="8">
        <v>1.65</v>
      </c>
      <c r="G37" s="12">
        <v>179</v>
      </c>
      <c r="H37" s="8">
        <v>4.25</v>
      </c>
      <c r="I37" s="12">
        <v>0</v>
      </c>
    </row>
    <row r="38" spans="2:9" ht="15" customHeight="1" x14ac:dyDescent="0.15">
      <c r="B38" t="s">
        <v>95</v>
      </c>
      <c r="C38" s="12">
        <v>225</v>
      </c>
      <c r="D38" s="8">
        <v>3.17</v>
      </c>
      <c r="E38" s="12">
        <v>12</v>
      </c>
      <c r="F38" s="8">
        <v>0.42</v>
      </c>
      <c r="G38" s="12">
        <v>213</v>
      </c>
      <c r="H38" s="8">
        <v>5.0599999999999996</v>
      </c>
      <c r="I38" s="12">
        <v>0</v>
      </c>
    </row>
    <row r="39" spans="2:9" ht="15" customHeight="1" x14ac:dyDescent="0.15">
      <c r="B39" t="s">
        <v>85</v>
      </c>
      <c r="C39" s="12">
        <v>183</v>
      </c>
      <c r="D39" s="8">
        <v>2.58</v>
      </c>
      <c r="E39" s="12">
        <v>13</v>
      </c>
      <c r="F39" s="8">
        <v>0.46</v>
      </c>
      <c r="G39" s="12">
        <v>170</v>
      </c>
      <c r="H39" s="8">
        <v>4.04</v>
      </c>
      <c r="I39" s="12">
        <v>0</v>
      </c>
    </row>
    <row r="40" spans="2:9" ht="15" customHeight="1" x14ac:dyDescent="0.15">
      <c r="B40" t="s">
        <v>86</v>
      </c>
      <c r="C40" s="12">
        <v>159</v>
      </c>
      <c r="D40" s="8">
        <v>2.2400000000000002</v>
      </c>
      <c r="E40" s="12">
        <v>28</v>
      </c>
      <c r="F40" s="8">
        <v>0.98</v>
      </c>
      <c r="G40" s="12">
        <v>131</v>
      </c>
      <c r="H40" s="8">
        <v>3.11</v>
      </c>
      <c r="I40" s="12">
        <v>0</v>
      </c>
    </row>
    <row r="41" spans="2:9" ht="15" customHeight="1" x14ac:dyDescent="0.15">
      <c r="B41" t="s">
        <v>104</v>
      </c>
      <c r="C41" s="12">
        <v>157</v>
      </c>
      <c r="D41" s="8">
        <v>2.21</v>
      </c>
      <c r="E41" s="12">
        <v>7</v>
      </c>
      <c r="F41" s="8">
        <v>0.25</v>
      </c>
      <c r="G41" s="12">
        <v>143</v>
      </c>
      <c r="H41" s="8">
        <v>3.4</v>
      </c>
      <c r="I41" s="12">
        <v>7</v>
      </c>
    </row>
    <row r="42" spans="2:9" ht="15" customHeight="1" x14ac:dyDescent="0.15">
      <c r="B42" t="s">
        <v>90</v>
      </c>
      <c r="C42" s="12">
        <v>142</v>
      </c>
      <c r="D42" s="8">
        <v>2</v>
      </c>
      <c r="E42" s="12">
        <v>1</v>
      </c>
      <c r="F42" s="8">
        <v>0.04</v>
      </c>
      <c r="G42" s="12">
        <v>141</v>
      </c>
      <c r="H42" s="8">
        <v>3.35</v>
      </c>
      <c r="I42" s="12">
        <v>0</v>
      </c>
    </row>
    <row r="43" spans="2:9" ht="15" customHeight="1" x14ac:dyDescent="0.15">
      <c r="B43" t="s">
        <v>102</v>
      </c>
      <c r="C43" s="12">
        <v>136</v>
      </c>
      <c r="D43" s="8">
        <v>1.92</v>
      </c>
      <c r="E43" s="12">
        <v>70</v>
      </c>
      <c r="F43" s="8">
        <v>2.4500000000000002</v>
      </c>
      <c r="G43" s="12">
        <v>64</v>
      </c>
      <c r="H43" s="8">
        <v>1.52</v>
      </c>
      <c r="I43" s="12">
        <v>2</v>
      </c>
    </row>
    <row r="44" spans="2:9" ht="15" customHeight="1" x14ac:dyDescent="0.15">
      <c r="B44" t="s">
        <v>110</v>
      </c>
      <c r="C44" s="12">
        <v>126</v>
      </c>
      <c r="D44" s="8">
        <v>1.78</v>
      </c>
      <c r="E44" s="12">
        <v>0</v>
      </c>
      <c r="F44" s="8">
        <v>0</v>
      </c>
      <c r="G44" s="12">
        <v>124</v>
      </c>
      <c r="H44" s="8">
        <v>2.94</v>
      </c>
      <c r="I44" s="12">
        <v>2</v>
      </c>
    </row>
    <row r="45" spans="2:9" ht="15" customHeight="1" x14ac:dyDescent="0.15">
      <c r="B45" t="s">
        <v>87</v>
      </c>
      <c r="C45" s="12">
        <v>113</v>
      </c>
      <c r="D45" s="8">
        <v>1.59</v>
      </c>
      <c r="E45" s="12">
        <v>7</v>
      </c>
      <c r="F45" s="8">
        <v>0.25</v>
      </c>
      <c r="G45" s="12">
        <v>106</v>
      </c>
      <c r="H45" s="8">
        <v>2.52</v>
      </c>
      <c r="I45" s="12">
        <v>0</v>
      </c>
    </row>
    <row r="46" spans="2:9" ht="15" customHeight="1" x14ac:dyDescent="0.15">
      <c r="B46" t="s">
        <v>105</v>
      </c>
      <c r="C46" s="12">
        <v>104</v>
      </c>
      <c r="D46" s="8">
        <v>1.47</v>
      </c>
      <c r="E46" s="12">
        <v>9</v>
      </c>
      <c r="F46" s="8">
        <v>0.32</v>
      </c>
      <c r="G46" s="12">
        <v>95</v>
      </c>
      <c r="H46" s="8">
        <v>2.2599999999999998</v>
      </c>
      <c r="I46" s="12">
        <v>0</v>
      </c>
    </row>
    <row r="47" spans="2:9" ht="15" customHeight="1" x14ac:dyDescent="0.15">
      <c r="B47" t="s">
        <v>101</v>
      </c>
      <c r="C47" s="12">
        <v>87</v>
      </c>
      <c r="D47" s="8">
        <v>1.23</v>
      </c>
      <c r="E47" s="12">
        <v>21</v>
      </c>
      <c r="F47" s="8">
        <v>0.74</v>
      </c>
      <c r="G47" s="12">
        <v>66</v>
      </c>
      <c r="H47" s="8">
        <v>1.57</v>
      </c>
      <c r="I47" s="12">
        <v>0</v>
      </c>
    </row>
    <row r="48" spans="2:9" ht="15" customHeight="1" x14ac:dyDescent="0.15">
      <c r="B48" t="s">
        <v>111</v>
      </c>
      <c r="C48" s="12">
        <v>79</v>
      </c>
      <c r="D48" s="8">
        <v>1.1100000000000001</v>
      </c>
      <c r="E48" s="12">
        <v>28</v>
      </c>
      <c r="F48" s="8">
        <v>0.98</v>
      </c>
      <c r="G48" s="12">
        <v>51</v>
      </c>
      <c r="H48" s="8">
        <v>1.21</v>
      </c>
      <c r="I48" s="12">
        <v>0</v>
      </c>
    </row>
    <row r="51" spans="2:9" ht="33" customHeight="1" x14ac:dyDescent="0.15">
      <c r="B51" t="s">
        <v>245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152</v>
      </c>
      <c r="C52" s="12">
        <v>381</v>
      </c>
      <c r="D52" s="8">
        <v>5.37</v>
      </c>
      <c r="E52" s="12">
        <v>330</v>
      </c>
      <c r="F52" s="8">
        <v>11.55</v>
      </c>
      <c r="G52" s="12">
        <v>51</v>
      </c>
      <c r="H52" s="8">
        <v>1.21</v>
      </c>
      <c r="I52" s="12">
        <v>0</v>
      </c>
    </row>
    <row r="53" spans="2:9" ht="15" customHeight="1" x14ac:dyDescent="0.15">
      <c r="B53" t="s">
        <v>150</v>
      </c>
      <c r="C53" s="12">
        <v>371</v>
      </c>
      <c r="D53" s="8">
        <v>5.23</v>
      </c>
      <c r="E53" s="12">
        <v>242</v>
      </c>
      <c r="F53" s="8">
        <v>8.4700000000000006</v>
      </c>
      <c r="G53" s="12">
        <v>129</v>
      </c>
      <c r="H53" s="8">
        <v>3.06</v>
      </c>
      <c r="I53" s="12">
        <v>0</v>
      </c>
    </row>
    <row r="54" spans="2:9" ht="15" customHeight="1" x14ac:dyDescent="0.15">
      <c r="B54" t="s">
        <v>151</v>
      </c>
      <c r="C54" s="12">
        <v>318</v>
      </c>
      <c r="D54" s="8">
        <v>4.49</v>
      </c>
      <c r="E54" s="12">
        <v>252</v>
      </c>
      <c r="F54" s="8">
        <v>8.82</v>
      </c>
      <c r="G54" s="12">
        <v>66</v>
      </c>
      <c r="H54" s="8">
        <v>1.57</v>
      </c>
      <c r="I54" s="12">
        <v>0</v>
      </c>
    </row>
    <row r="55" spans="2:9" ht="15" customHeight="1" x14ac:dyDescent="0.15">
      <c r="B55" t="s">
        <v>148</v>
      </c>
      <c r="C55" s="12">
        <v>275</v>
      </c>
      <c r="D55" s="8">
        <v>3.88</v>
      </c>
      <c r="E55" s="12">
        <v>163</v>
      </c>
      <c r="F55" s="8">
        <v>5.71</v>
      </c>
      <c r="G55" s="12">
        <v>112</v>
      </c>
      <c r="H55" s="8">
        <v>2.66</v>
      </c>
      <c r="I55" s="12">
        <v>0</v>
      </c>
    </row>
    <row r="56" spans="2:9" ht="15" customHeight="1" x14ac:dyDescent="0.15">
      <c r="B56" t="s">
        <v>145</v>
      </c>
      <c r="C56" s="12">
        <v>224</v>
      </c>
      <c r="D56" s="8">
        <v>3.16</v>
      </c>
      <c r="E56" s="12">
        <v>97</v>
      </c>
      <c r="F56" s="8">
        <v>3.4</v>
      </c>
      <c r="G56" s="12">
        <v>127</v>
      </c>
      <c r="H56" s="8">
        <v>3.02</v>
      </c>
      <c r="I56" s="12">
        <v>0</v>
      </c>
    </row>
    <row r="57" spans="2:9" ht="15" customHeight="1" x14ac:dyDescent="0.15">
      <c r="B57" t="s">
        <v>168</v>
      </c>
      <c r="C57" s="12">
        <v>222</v>
      </c>
      <c r="D57" s="8">
        <v>3.13</v>
      </c>
      <c r="E57" s="12">
        <v>219</v>
      </c>
      <c r="F57" s="8">
        <v>7.67</v>
      </c>
      <c r="G57" s="12">
        <v>3</v>
      </c>
      <c r="H57" s="8">
        <v>7.0000000000000007E-2</v>
      </c>
      <c r="I57" s="12">
        <v>0</v>
      </c>
    </row>
    <row r="58" spans="2:9" ht="15" customHeight="1" x14ac:dyDescent="0.15">
      <c r="B58" t="s">
        <v>147</v>
      </c>
      <c r="C58" s="12">
        <v>190</v>
      </c>
      <c r="D58" s="8">
        <v>2.68</v>
      </c>
      <c r="E58" s="12">
        <v>39</v>
      </c>
      <c r="F58" s="8">
        <v>1.37</v>
      </c>
      <c r="G58" s="12">
        <v>150</v>
      </c>
      <c r="H58" s="8">
        <v>3.56</v>
      </c>
      <c r="I58" s="12">
        <v>1</v>
      </c>
    </row>
    <row r="59" spans="2:9" ht="15" customHeight="1" x14ac:dyDescent="0.15">
      <c r="B59" t="s">
        <v>155</v>
      </c>
      <c r="C59" s="12">
        <v>187</v>
      </c>
      <c r="D59" s="8">
        <v>2.64</v>
      </c>
      <c r="E59" s="12">
        <v>137</v>
      </c>
      <c r="F59" s="8">
        <v>4.8</v>
      </c>
      <c r="G59" s="12">
        <v>50</v>
      </c>
      <c r="H59" s="8">
        <v>1.19</v>
      </c>
      <c r="I59" s="12">
        <v>0</v>
      </c>
    </row>
    <row r="60" spans="2:9" ht="15" customHeight="1" x14ac:dyDescent="0.15">
      <c r="B60" t="s">
        <v>159</v>
      </c>
      <c r="C60" s="12">
        <v>170</v>
      </c>
      <c r="D60" s="8">
        <v>2.4</v>
      </c>
      <c r="E60" s="12">
        <v>34</v>
      </c>
      <c r="F60" s="8">
        <v>1.19</v>
      </c>
      <c r="G60" s="12">
        <v>136</v>
      </c>
      <c r="H60" s="8">
        <v>3.23</v>
      </c>
      <c r="I60" s="12">
        <v>0</v>
      </c>
    </row>
    <row r="61" spans="2:9" ht="15" customHeight="1" x14ac:dyDescent="0.15">
      <c r="B61" t="s">
        <v>146</v>
      </c>
      <c r="C61" s="12">
        <v>163</v>
      </c>
      <c r="D61" s="8">
        <v>2.2999999999999998</v>
      </c>
      <c r="E61" s="12">
        <v>11</v>
      </c>
      <c r="F61" s="8">
        <v>0.39</v>
      </c>
      <c r="G61" s="12">
        <v>152</v>
      </c>
      <c r="H61" s="8">
        <v>3.61</v>
      </c>
      <c r="I61" s="12">
        <v>0</v>
      </c>
    </row>
    <row r="62" spans="2:9" ht="15" customHeight="1" x14ac:dyDescent="0.15">
      <c r="B62" t="s">
        <v>157</v>
      </c>
      <c r="C62" s="12">
        <v>156</v>
      </c>
      <c r="D62" s="8">
        <v>2.2000000000000002</v>
      </c>
      <c r="E62" s="12">
        <v>113</v>
      </c>
      <c r="F62" s="8">
        <v>3.96</v>
      </c>
      <c r="G62" s="12">
        <v>43</v>
      </c>
      <c r="H62" s="8">
        <v>1.02</v>
      </c>
      <c r="I62" s="12">
        <v>0</v>
      </c>
    </row>
    <row r="63" spans="2:9" ht="15" customHeight="1" x14ac:dyDescent="0.15">
      <c r="B63" t="s">
        <v>162</v>
      </c>
      <c r="C63" s="12">
        <v>144</v>
      </c>
      <c r="D63" s="8">
        <v>2.0299999999999998</v>
      </c>
      <c r="E63" s="12">
        <v>139</v>
      </c>
      <c r="F63" s="8">
        <v>4.87</v>
      </c>
      <c r="G63" s="12">
        <v>5</v>
      </c>
      <c r="H63" s="8">
        <v>0.12</v>
      </c>
      <c r="I63" s="12">
        <v>0</v>
      </c>
    </row>
    <row r="64" spans="2:9" ht="15" customHeight="1" x14ac:dyDescent="0.15">
      <c r="B64" t="s">
        <v>142</v>
      </c>
      <c r="C64" s="12">
        <v>128</v>
      </c>
      <c r="D64" s="8">
        <v>1.81</v>
      </c>
      <c r="E64" s="12">
        <v>38</v>
      </c>
      <c r="F64" s="8">
        <v>1.33</v>
      </c>
      <c r="G64" s="12">
        <v>90</v>
      </c>
      <c r="H64" s="8">
        <v>2.14</v>
      </c>
      <c r="I64" s="12">
        <v>0</v>
      </c>
    </row>
    <row r="65" spans="2:9" ht="15" customHeight="1" x14ac:dyDescent="0.15">
      <c r="B65" t="s">
        <v>149</v>
      </c>
      <c r="C65" s="12">
        <v>114</v>
      </c>
      <c r="D65" s="8">
        <v>1.61</v>
      </c>
      <c r="E65" s="12">
        <v>5</v>
      </c>
      <c r="F65" s="8">
        <v>0.18</v>
      </c>
      <c r="G65" s="12">
        <v>108</v>
      </c>
      <c r="H65" s="8">
        <v>2.56</v>
      </c>
      <c r="I65" s="12">
        <v>1</v>
      </c>
    </row>
    <row r="66" spans="2:9" ht="15" customHeight="1" x14ac:dyDescent="0.15">
      <c r="B66" t="s">
        <v>165</v>
      </c>
      <c r="C66" s="12">
        <v>110</v>
      </c>
      <c r="D66" s="8">
        <v>1.55</v>
      </c>
      <c r="E66" s="12">
        <v>27</v>
      </c>
      <c r="F66" s="8">
        <v>0.95</v>
      </c>
      <c r="G66" s="12">
        <v>83</v>
      </c>
      <c r="H66" s="8">
        <v>1.97</v>
      </c>
      <c r="I66" s="12">
        <v>0</v>
      </c>
    </row>
    <row r="67" spans="2:9" ht="15" customHeight="1" x14ac:dyDescent="0.15">
      <c r="B67" t="s">
        <v>170</v>
      </c>
      <c r="C67" s="12">
        <v>103</v>
      </c>
      <c r="D67" s="8">
        <v>1.45</v>
      </c>
      <c r="E67" s="12">
        <v>70</v>
      </c>
      <c r="F67" s="8">
        <v>2.4500000000000002</v>
      </c>
      <c r="G67" s="12">
        <v>33</v>
      </c>
      <c r="H67" s="8">
        <v>0.78</v>
      </c>
      <c r="I67" s="12">
        <v>0</v>
      </c>
    </row>
    <row r="68" spans="2:9" ht="15" customHeight="1" x14ac:dyDescent="0.15">
      <c r="B68" t="s">
        <v>143</v>
      </c>
      <c r="C68" s="12">
        <v>102</v>
      </c>
      <c r="D68" s="8">
        <v>1.44</v>
      </c>
      <c r="E68" s="12">
        <v>40</v>
      </c>
      <c r="F68" s="8">
        <v>1.4</v>
      </c>
      <c r="G68" s="12">
        <v>62</v>
      </c>
      <c r="H68" s="8">
        <v>1.47</v>
      </c>
      <c r="I68" s="12">
        <v>0</v>
      </c>
    </row>
    <row r="69" spans="2:9" ht="15" customHeight="1" x14ac:dyDescent="0.15">
      <c r="B69" t="s">
        <v>169</v>
      </c>
      <c r="C69" s="12">
        <v>96</v>
      </c>
      <c r="D69" s="8">
        <v>1.35</v>
      </c>
      <c r="E69" s="12">
        <v>10</v>
      </c>
      <c r="F69" s="8">
        <v>0.35</v>
      </c>
      <c r="G69" s="12">
        <v>86</v>
      </c>
      <c r="H69" s="8">
        <v>2.04</v>
      </c>
      <c r="I69" s="12">
        <v>0</v>
      </c>
    </row>
    <row r="70" spans="2:9" ht="15" customHeight="1" x14ac:dyDescent="0.15">
      <c r="B70" t="s">
        <v>167</v>
      </c>
      <c r="C70" s="12">
        <v>91</v>
      </c>
      <c r="D70" s="8">
        <v>1.28</v>
      </c>
      <c r="E70" s="12">
        <v>6</v>
      </c>
      <c r="F70" s="8">
        <v>0.21</v>
      </c>
      <c r="G70" s="12">
        <v>79</v>
      </c>
      <c r="H70" s="8">
        <v>1.88</v>
      </c>
      <c r="I70" s="12">
        <v>6</v>
      </c>
    </row>
    <row r="71" spans="2:9" ht="15" customHeight="1" x14ac:dyDescent="0.15">
      <c r="B71" t="s">
        <v>156</v>
      </c>
      <c r="C71" s="12">
        <v>90</v>
      </c>
      <c r="D71" s="8">
        <v>1.27</v>
      </c>
      <c r="E71" s="12">
        <v>56</v>
      </c>
      <c r="F71" s="8">
        <v>1.96</v>
      </c>
      <c r="G71" s="12">
        <v>34</v>
      </c>
      <c r="H71" s="8">
        <v>0.81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465</v>
      </c>
      <c r="D6" s="8">
        <v>13.37</v>
      </c>
      <c r="E6" s="12">
        <v>57</v>
      </c>
      <c r="F6" s="8">
        <v>3.41</v>
      </c>
      <c r="G6" s="12">
        <v>408</v>
      </c>
      <c r="H6" s="8">
        <v>22.57</v>
      </c>
      <c r="I6" s="12">
        <v>0</v>
      </c>
    </row>
    <row r="7" spans="2:9" ht="15" customHeight="1" x14ac:dyDescent="0.15">
      <c r="B7" t="s">
        <v>64</v>
      </c>
      <c r="C7" s="12">
        <v>241</v>
      </c>
      <c r="D7" s="8">
        <v>6.93</v>
      </c>
      <c r="E7" s="12">
        <v>49</v>
      </c>
      <c r="F7" s="8">
        <v>2.93</v>
      </c>
      <c r="G7" s="12">
        <v>192</v>
      </c>
      <c r="H7" s="8">
        <v>10.62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29</v>
      </c>
      <c r="D9" s="8">
        <v>0.83</v>
      </c>
      <c r="E9" s="12">
        <v>1</v>
      </c>
      <c r="F9" s="8">
        <v>0.06</v>
      </c>
      <c r="G9" s="12">
        <v>28</v>
      </c>
      <c r="H9" s="8">
        <v>1.55</v>
      </c>
      <c r="I9" s="12">
        <v>0</v>
      </c>
    </row>
    <row r="10" spans="2:9" ht="15" customHeight="1" x14ac:dyDescent="0.15">
      <c r="B10" t="s">
        <v>67</v>
      </c>
      <c r="C10" s="12">
        <v>29</v>
      </c>
      <c r="D10" s="8">
        <v>0.83</v>
      </c>
      <c r="E10" s="12">
        <v>15</v>
      </c>
      <c r="F10" s="8">
        <v>0.9</v>
      </c>
      <c r="G10" s="12">
        <v>14</v>
      </c>
      <c r="H10" s="8">
        <v>0.77</v>
      </c>
      <c r="I10" s="12">
        <v>0</v>
      </c>
    </row>
    <row r="11" spans="2:9" ht="15" customHeight="1" x14ac:dyDescent="0.15">
      <c r="B11" t="s">
        <v>68</v>
      </c>
      <c r="C11" s="12">
        <v>812</v>
      </c>
      <c r="D11" s="8">
        <v>23.34</v>
      </c>
      <c r="E11" s="12">
        <v>327</v>
      </c>
      <c r="F11" s="8">
        <v>19.57</v>
      </c>
      <c r="G11" s="12">
        <v>485</v>
      </c>
      <c r="H11" s="8">
        <v>26.83</v>
      </c>
      <c r="I11" s="12">
        <v>0</v>
      </c>
    </row>
    <row r="12" spans="2:9" ht="15" customHeight="1" x14ac:dyDescent="0.15">
      <c r="B12" t="s">
        <v>69</v>
      </c>
      <c r="C12" s="12">
        <v>18</v>
      </c>
      <c r="D12" s="8">
        <v>0.52</v>
      </c>
      <c r="E12" s="12">
        <v>2</v>
      </c>
      <c r="F12" s="8">
        <v>0.12</v>
      </c>
      <c r="G12" s="12">
        <v>16</v>
      </c>
      <c r="H12" s="8">
        <v>0.88</v>
      </c>
      <c r="I12" s="12">
        <v>0</v>
      </c>
    </row>
    <row r="13" spans="2:9" ht="15" customHeight="1" x14ac:dyDescent="0.15">
      <c r="B13" t="s">
        <v>70</v>
      </c>
      <c r="C13" s="12">
        <v>455</v>
      </c>
      <c r="D13" s="8">
        <v>13.08</v>
      </c>
      <c r="E13" s="12">
        <v>222</v>
      </c>
      <c r="F13" s="8">
        <v>13.29</v>
      </c>
      <c r="G13" s="12">
        <v>233</v>
      </c>
      <c r="H13" s="8">
        <v>12.89</v>
      </c>
      <c r="I13" s="12">
        <v>0</v>
      </c>
    </row>
    <row r="14" spans="2:9" ht="15" customHeight="1" x14ac:dyDescent="0.15">
      <c r="B14" t="s">
        <v>71</v>
      </c>
      <c r="C14" s="12">
        <v>143</v>
      </c>
      <c r="D14" s="8">
        <v>4.1100000000000003</v>
      </c>
      <c r="E14" s="12">
        <v>56</v>
      </c>
      <c r="F14" s="8">
        <v>3.35</v>
      </c>
      <c r="G14" s="12">
        <v>87</v>
      </c>
      <c r="H14" s="8">
        <v>4.8099999999999996</v>
      </c>
      <c r="I14" s="12">
        <v>0</v>
      </c>
    </row>
    <row r="15" spans="2:9" ht="15" customHeight="1" x14ac:dyDescent="0.15">
      <c r="B15" t="s">
        <v>72</v>
      </c>
      <c r="C15" s="12">
        <v>523</v>
      </c>
      <c r="D15" s="8">
        <v>15.03</v>
      </c>
      <c r="E15" s="12">
        <v>414</v>
      </c>
      <c r="F15" s="8">
        <v>24.78</v>
      </c>
      <c r="G15" s="12">
        <v>109</v>
      </c>
      <c r="H15" s="8">
        <v>6.03</v>
      </c>
      <c r="I15" s="12">
        <v>0</v>
      </c>
    </row>
    <row r="16" spans="2:9" ht="15" customHeight="1" x14ac:dyDescent="0.15">
      <c r="B16" t="s">
        <v>73</v>
      </c>
      <c r="C16" s="12">
        <v>432</v>
      </c>
      <c r="D16" s="8">
        <v>12.42</v>
      </c>
      <c r="E16" s="12">
        <v>324</v>
      </c>
      <c r="F16" s="8">
        <v>19.39</v>
      </c>
      <c r="G16" s="12">
        <v>108</v>
      </c>
      <c r="H16" s="8">
        <v>5.97</v>
      </c>
      <c r="I16" s="12">
        <v>0</v>
      </c>
    </row>
    <row r="17" spans="2:9" ht="15" customHeight="1" x14ac:dyDescent="0.15">
      <c r="B17" t="s">
        <v>74</v>
      </c>
      <c r="C17" s="12">
        <v>91</v>
      </c>
      <c r="D17" s="8">
        <v>2.62</v>
      </c>
      <c r="E17" s="12">
        <v>66</v>
      </c>
      <c r="F17" s="8">
        <v>3.95</v>
      </c>
      <c r="G17" s="12">
        <v>25</v>
      </c>
      <c r="H17" s="8">
        <v>1.38</v>
      </c>
      <c r="I17" s="12">
        <v>0</v>
      </c>
    </row>
    <row r="18" spans="2:9" ht="15" customHeight="1" x14ac:dyDescent="0.15">
      <c r="B18" t="s">
        <v>75</v>
      </c>
      <c r="C18" s="12">
        <v>148</v>
      </c>
      <c r="D18" s="8">
        <v>4.25</v>
      </c>
      <c r="E18" s="12">
        <v>107</v>
      </c>
      <c r="F18" s="8">
        <v>6.4</v>
      </c>
      <c r="G18" s="12">
        <v>41</v>
      </c>
      <c r="H18" s="8">
        <v>2.27</v>
      </c>
      <c r="I18" s="12">
        <v>0</v>
      </c>
    </row>
    <row r="19" spans="2:9" ht="15" customHeight="1" x14ac:dyDescent="0.15">
      <c r="B19" t="s">
        <v>76</v>
      </c>
      <c r="C19" s="12">
        <v>93</v>
      </c>
      <c r="D19" s="8">
        <v>2.67</v>
      </c>
      <c r="E19" s="12">
        <v>31</v>
      </c>
      <c r="F19" s="8">
        <v>1.86</v>
      </c>
      <c r="G19" s="12">
        <v>62</v>
      </c>
      <c r="H19" s="8">
        <v>3.43</v>
      </c>
      <c r="I19" s="12">
        <v>0</v>
      </c>
    </row>
    <row r="20" spans="2:9" ht="15" customHeight="1" x14ac:dyDescent="0.15">
      <c r="B20" s="9" t="s">
        <v>216</v>
      </c>
      <c r="C20" s="12">
        <f>SUM(LTBL_14105[総数／事業所数])</f>
        <v>3479</v>
      </c>
      <c r="E20" s="12">
        <f>SUBTOTAL(109,LTBL_14105[個人／事業所数])</f>
        <v>1671</v>
      </c>
      <c r="G20" s="12">
        <f>SUBTOTAL(109,LTBL_14105[法人／事業所数])</f>
        <v>1808</v>
      </c>
      <c r="I20" s="12">
        <f>SUBTOTAL(109,LTBL_14105[法人以外の団体／事業所数])</f>
        <v>0</v>
      </c>
    </row>
    <row r="21" spans="2:9" ht="15" customHeight="1" x14ac:dyDescent="0.15">
      <c r="E21" s="11">
        <f>LTBL_14105[[#Totals],[個人／事業所数]]/LTBL_14105[[#Totals],[総数／事業所数]]</f>
        <v>0.48031043403276802</v>
      </c>
      <c r="G21" s="11">
        <f>LTBL_14105[[#Totals],[法人／事業所数]]/LTBL_14105[[#Totals],[総数／事業所数]]</f>
        <v>0.51968956596723193</v>
      </c>
      <c r="I21" s="11">
        <f>LTBL_14105[[#Totals],[法人以外の団体／事業所数]]/LTBL_14105[[#Totals],[総数／事業所数]]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247</v>
      </c>
      <c r="E23" s="10" t="s">
        <v>80</v>
      </c>
      <c r="F23" s="10" t="s">
        <v>223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493</v>
      </c>
      <c r="D29" s="8">
        <v>14.17</v>
      </c>
      <c r="E29" s="12">
        <v>401</v>
      </c>
      <c r="F29" s="8">
        <v>24</v>
      </c>
      <c r="G29" s="12">
        <v>92</v>
      </c>
      <c r="H29" s="8">
        <v>5.09</v>
      </c>
      <c r="I29" s="12">
        <v>0</v>
      </c>
    </row>
    <row r="30" spans="2:9" ht="15" customHeight="1" x14ac:dyDescent="0.15">
      <c r="B30" t="s">
        <v>100</v>
      </c>
      <c r="C30" s="12">
        <v>371</v>
      </c>
      <c r="D30" s="8">
        <v>10.66</v>
      </c>
      <c r="E30" s="12">
        <v>297</v>
      </c>
      <c r="F30" s="8">
        <v>17.77</v>
      </c>
      <c r="G30" s="12">
        <v>74</v>
      </c>
      <c r="H30" s="8">
        <v>4.09</v>
      </c>
      <c r="I30" s="12">
        <v>0</v>
      </c>
    </row>
    <row r="31" spans="2:9" ht="15" customHeight="1" x14ac:dyDescent="0.15">
      <c r="B31" t="s">
        <v>96</v>
      </c>
      <c r="C31" s="12">
        <v>365</v>
      </c>
      <c r="D31" s="8">
        <v>10.49</v>
      </c>
      <c r="E31" s="12">
        <v>215</v>
      </c>
      <c r="F31" s="8">
        <v>12.87</v>
      </c>
      <c r="G31" s="12">
        <v>150</v>
      </c>
      <c r="H31" s="8">
        <v>8.3000000000000007</v>
      </c>
      <c r="I31" s="12">
        <v>0</v>
      </c>
    </row>
    <row r="32" spans="2:9" ht="15" customHeight="1" x14ac:dyDescent="0.15">
      <c r="B32" t="s">
        <v>94</v>
      </c>
      <c r="C32" s="12">
        <v>233</v>
      </c>
      <c r="D32" s="8">
        <v>6.7</v>
      </c>
      <c r="E32" s="12">
        <v>120</v>
      </c>
      <c r="F32" s="8">
        <v>7.18</v>
      </c>
      <c r="G32" s="12">
        <v>113</v>
      </c>
      <c r="H32" s="8">
        <v>6.25</v>
      </c>
      <c r="I32" s="12">
        <v>0</v>
      </c>
    </row>
    <row r="33" spans="2:9" ht="15" customHeight="1" x14ac:dyDescent="0.15">
      <c r="B33" t="s">
        <v>92</v>
      </c>
      <c r="C33" s="12">
        <v>200</v>
      </c>
      <c r="D33" s="8">
        <v>5.75</v>
      </c>
      <c r="E33" s="12">
        <v>98</v>
      </c>
      <c r="F33" s="8">
        <v>5.86</v>
      </c>
      <c r="G33" s="12">
        <v>102</v>
      </c>
      <c r="H33" s="8">
        <v>5.64</v>
      </c>
      <c r="I33" s="12">
        <v>0</v>
      </c>
    </row>
    <row r="34" spans="2:9" ht="15" customHeight="1" x14ac:dyDescent="0.15">
      <c r="B34" t="s">
        <v>86</v>
      </c>
      <c r="C34" s="12">
        <v>185</v>
      </c>
      <c r="D34" s="8">
        <v>5.32</v>
      </c>
      <c r="E34" s="12">
        <v>31</v>
      </c>
      <c r="F34" s="8">
        <v>1.86</v>
      </c>
      <c r="G34" s="12">
        <v>154</v>
      </c>
      <c r="H34" s="8">
        <v>8.52</v>
      </c>
      <c r="I34" s="12">
        <v>0</v>
      </c>
    </row>
    <row r="35" spans="2:9" ht="15" customHeight="1" x14ac:dyDescent="0.15">
      <c r="B35" t="s">
        <v>85</v>
      </c>
      <c r="C35" s="12">
        <v>150</v>
      </c>
      <c r="D35" s="8">
        <v>4.3099999999999996</v>
      </c>
      <c r="E35" s="12">
        <v>22</v>
      </c>
      <c r="F35" s="8">
        <v>1.32</v>
      </c>
      <c r="G35" s="12">
        <v>128</v>
      </c>
      <c r="H35" s="8">
        <v>7.08</v>
      </c>
      <c r="I35" s="12">
        <v>0</v>
      </c>
    </row>
    <row r="36" spans="2:9" ht="15" customHeight="1" x14ac:dyDescent="0.15">
      <c r="B36" t="s">
        <v>87</v>
      </c>
      <c r="C36" s="12">
        <v>130</v>
      </c>
      <c r="D36" s="8">
        <v>3.74</v>
      </c>
      <c r="E36" s="12">
        <v>4</v>
      </c>
      <c r="F36" s="8">
        <v>0.24</v>
      </c>
      <c r="G36" s="12">
        <v>126</v>
      </c>
      <c r="H36" s="8">
        <v>6.97</v>
      </c>
      <c r="I36" s="12">
        <v>0</v>
      </c>
    </row>
    <row r="37" spans="2:9" ht="15" customHeight="1" x14ac:dyDescent="0.15">
      <c r="B37" t="s">
        <v>103</v>
      </c>
      <c r="C37" s="12">
        <v>128</v>
      </c>
      <c r="D37" s="8">
        <v>3.68</v>
      </c>
      <c r="E37" s="12">
        <v>107</v>
      </c>
      <c r="F37" s="8">
        <v>6.4</v>
      </c>
      <c r="G37" s="12">
        <v>21</v>
      </c>
      <c r="H37" s="8">
        <v>1.1599999999999999</v>
      </c>
      <c r="I37" s="12">
        <v>0</v>
      </c>
    </row>
    <row r="38" spans="2:9" ht="15" customHeight="1" x14ac:dyDescent="0.15">
      <c r="B38" t="s">
        <v>91</v>
      </c>
      <c r="C38" s="12">
        <v>92</v>
      </c>
      <c r="D38" s="8">
        <v>2.64</v>
      </c>
      <c r="E38" s="12">
        <v>46</v>
      </c>
      <c r="F38" s="8">
        <v>2.75</v>
      </c>
      <c r="G38" s="12">
        <v>46</v>
      </c>
      <c r="H38" s="8">
        <v>2.54</v>
      </c>
      <c r="I38" s="12">
        <v>0</v>
      </c>
    </row>
    <row r="39" spans="2:9" ht="15" customHeight="1" x14ac:dyDescent="0.15">
      <c r="B39" t="s">
        <v>102</v>
      </c>
      <c r="C39" s="12">
        <v>91</v>
      </c>
      <c r="D39" s="8">
        <v>2.62</v>
      </c>
      <c r="E39" s="12">
        <v>66</v>
      </c>
      <c r="F39" s="8">
        <v>3.95</v>
      </c>
      <c r="G39" s="12">
        <v>25</v>
      </c>
      <c r="H39" s="8">
        <v>1.38</v>
      </c>
      <c r="I39" s="12">
        <v>0</v>
      </c>
    </row>
    <row r="40" spans="2:9" ht="15" customHeight="1" x14ac:dyDescent="0.15">
      <c r="B40" t="s">
        <v>93</v>
      </c>
      <c r="C40" s="12">
        <v>86</v>
      </c>
      <c r="D40" s="8">
        <v>2.4700000000000002</v>
      </c>
      <c r="E40" s="12">
        <v>34</v>
      </c>
      <c r="F40" s="8">
        <v>2.0299999999999998</v>
      </c>
      <c r="G40" s="12">
        <v>52</v>
      </c>
      <c r="H40" s="8">
        <v>2.88</v>
      </c>
      <c r="I40" s="12">
        <v>0</v>
      </c>
    </row>
    <row r="41" spans="2:9" ht="15" customHeight="1" x14ac:dyDescent="0.15">
      <c r="B41" t="s">
        <v>95</v>
      </c>
      <c r="C41" s="12">
        <v>82</v>
      </c>
      <c r="D41" s="8">
        <v>2.36</v>
      </c>
      <c r="E41" s="12">
        <v>7</v>
      </c>
      <c r="F41" s="8">
        <v>0.42</v>
      </c>
      <c r="G41" s="12">
        <v>75</v>
      </c>
      <c r="H41" s="8">
        <v>4.1500000000000004</v>
      </c>
      <c r="I41" s="12">
        <v>0</v>
      </c>
    </row>
    <row r="42" spans="2:9" ht="15" customHeight="1" x14ac:dyDescent="0.15">
      <c r="B42" t="s">
        <v>112</v>
      </c>
      <c r="C42" s="12">
        <v>80</v>
      </c>
      <c r="D42" s="8">
        <v>2.2999999999999998</v>
      </c>
      <c r="E42" s="12">
        <v>12</v>
      </c>
      <c r="F42" s="8">
        <v>0.72</v>
      </c>
      <c r="G42" s="12">
        <v>68</v>
      </c>
      <c r="H42" s="8">
        <v>3.76</v>
      </c>
      <c r="I42" s="12">
        <v>0</v>
      </c>
    </row>
    <row r="43" spans="2:9" ht="15" customHeight="1" x14ac:dyDescent="0.15">
      <c r="B43" t="s">
        <v>97</v>
      </c>
      <c r="C43" s="12">
        <v>75</v>
      </c>
      <c r="D43" s="8">
        <v>2.16</v>
      </c>
      <c r="E43" s="12">
        <v>38</v>
      </c>
      <c r="F43" s="8">
        <v>2.27</v>
      </c>
      <c r="G43" s="12">
        <v>37</v>
      </c>
      <c r="H43" s="8">
        <v>2.0499999999999998</v>
      </c>
      <c r="I43" s="12">
        <v>0</v>
      </c>
    </row>
    <row r="44" spans="2:9" ht="15" customHeight="1" x14ac:dyDescent="0.15">
      <c r="B44" t="s">
        <v>98</v>
      </c>
      <c r="C44" s="12">
        <v>61</v>
      </c>
      <c r="D44" s="8">
        <v>1.75</v>
      </c>
      <c r="E44" s="12">
        <v>18</v>
      </c>
      <c r="F44" s="8">
        <v>1.08</v>
      </c>
      <c r="G44" s="12">
        <v>43</v>
      </c>
      <c r="H44" s="8">
        <v>2.38</v>
      </c>
      <c r="I44" s="12">
        <v>0</v>
      </c>
    </row>
    <row r="45" spans="2:9" ht="15" customHeight="1" x14ac:dyDescent="0.15">
      <c r="B45" t="s">
        <v>106</v>
      </c>
      <c r="C45" s="12">
        <v>56</v>
      </c>
      <c r="D45" s="8">
        <v>1.61</v>
      </c>
      <c r="E45" s="12">
        <v>7</v>
      </c>
      <c r="F45" s="8">
        <v>0.42</v>
      </c>
      <c r="G45" s="12">
        <v>49</v>
      </c>
      <c r="H45" s="8">
        <v>2.71</v>
      </c>
      <c r="I45" s="12">
        <v>0</v>
      </c>
    </row>
    <row r="46" spans="2:9" ht="15" customHeight="1" x14ac:dyDescent="0.15">
      <c r="B46" t="s">
        <v>105</v>
      </c>
      <c r="C46" s="12">
        <v>53</v>
      </c>
      <c r="D46" s="8">
        <v>1.52</v>
      </c>
      <c r="E46" s="12">
        <v>12</v>
      </c>
      <c r="F46" s="8">
        <v>0.72</v>
      </c>
      <c r="G46" s="12">
        <v>41</v>
      </c>
      <c r="H46" s="8">
        <v>2.27</v>
      </c>
      <c r="I46" s="12">
        <v>0</v>
      </c>
    </row>
    <row r="47" spans="2:9" ht="15" customHeight="1" x14ac:dyDescent="0.15">
      <c r="B47" t="s">
        <v>101</v>
      </c>
      <c r="C47" s="12">
        <v>45</v>
      </c>
      <c r="D47" s="8">
        <v>1.29</v>
      </c>
      <c r="E47" s="12">
        <v>17</v>
      </c>
      <c r="F47" s="8">
        <v>1.02</v>
      </c>
      <c r="G47" s="12">
        <v>28</v>
      </c>
      <c r="H47" s="8">
        <v>1.55</v>
      </c>
      <c r="I47" s="12">
        <v>0</v>
      </c>
    </row>
    <row r="48" spans="2:9" ht="15" customHeight="1" x14ac:dyDescent="0.15">
      <c r="B48" t="s">
        <v>104</v>
      </c>
      <c r="C48" s="12">
        <v>42</v>
      </c>
      <c r="D48" s="8">
        <v>1.21</v>
      </c>
      <c r="E48" s="12">
        <v>6</v>
      </c>
      <c r="F48" s="8">
        <v>0.36</v>
      </c>
      <c r="G48" s="12">
        <v>36</v>
      </c>
      <c r="H48" s="8">
        <v>1.99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219</v>
      </c>
      <c r="D52" s="8">
        <v>6.29</v>
      </c>
      <c r="E52" s="12">
        <v>154</v>
      </c>
      <c r="F52" s="8">
        <v>9.2200000000000006</v>
      </c>
      <c r="G52" s="12">
        <v>65</v>
      </c>
      <c r="H52" s="8">
        <v>3.6</v>
      </c>
      <c r="I52" s="12">
        <v>0</v>
      </c>
    </row>
    <row r="53" spans="2:9" ht="15" customHeight="1" x14ac:dyDescent="0.15">
      <c r="B53" t="s">
        <v>155</v>
      </c>
      <c r="C53" s="12">
        <v>176</v>
      </c>
      <c r="D53" s="8">
        <v>5.0599999999999996</v>
      </c>
      <c r="E53" s="12">
        <v>147</v>
      </c>
      <c r="F53" s="8">
        <v>8.8000000000000007</v>
      </c>
      <c r="G53" s="12">
        <v>29</v>
      </c>
      <c r="H53" s="8">
        <v>1.6</v>
      </c>
      <c r="I53" s="12">
        <v>0</v>
      </c>
    </row>
    <row r="54" spans="2:9" ht="15" customHeight="1" x14ac:dyDescent="0.15">
      <c r="B54" t="s">
        <v>150</v>
      </c>
      <c r="C54" s="12">
        <v>133</v>
      </c>
      <c r="D54" s="8">
        <v>3.82</v>
      </c>
      <c r="E54" s="12">
        <v>99</v>
      </c>
      <c r="F54" s="8">
        <v>5.92</v>
      </c>
      <c r="G54" s="12">
        <v>34</v>
      </c>
      <c r="H54" s="8">
        <v>1.88</v>
      </c>
      <c r="I54" s="12">
        <v>0</v>
      </c>
    </row>
    <row r="55" spans="2:9" ht="15" customHeight="1" x14ac:dyDescent="0.15">
      <c r="B55" t="s">
        <v>151</v>
      </c>
      <c r="C55" s="12">
        <v>125</v>
      </c>
      <c r="D55" s="8">
        <v>3.59</v>
      </c>
      <c r="E55" s="12">
        <v>110</v>
      </c>
      <c r="F55" s="8">
        <v>6.58</v>
      </c>
      <c r="G55" s="12">
        <v>15</v>
      </c>
      <c r="H55" s="8">
        <v>0.83</v>
      </c>
      <c r="I55" s="12">
        <v>0</v>
      </c>
    </row>
    <row r="56" spans="2:9" ht="15" customHeight="1" x14ac:dyDescent="0.15">
      <c r="B56" t="s">
        <v>152</v>
      </c>
      <c r="C56" s="12">
        <v>110</v>
      </c>
      <c r="D56" s="8">
        <v>3.16</v>
      </c>
      <c r="E56" s="12">
        <v>95</v>
      </c>
      <c r="F56" s="8">
        <v>5.69</v>
      </c>
      <c r="G56" s="12">
        <v>15</v>
      </c>
      <c r="H56" s="8">
        <v>0.83</v>
      </c>
      <c r="I56" s="12">
        <v>0</v>
      </c>
    </row>
    <row r="57" spans="2:9" ht="15" customHeight="1" x14ac:dyDescent="0.15">
      <c r="B57" t="s">
        <v>145</v>
      </c>
      <c r="C57" s="12">
        <v>106</v>
      </c>
      <c r="D57" s="8">
        <v>3.05</v>
      </c>
      <c r="E57" s="12">
        <v>65</v>
      </c>
      <c r="F57" s="8">
        <v>3.89</v>
      </c>
      <c r="G57" s="12">
        <v>41</v>
      </c>
      <c r="H57" s="8">
        <v>2.27</v>
      </c>
      <c r="I57" s="12">
        <v>0</v>
      </c>
    </row>
    <row r="58" spans="2:9" ht="15" customHeight="1" x14ac:dyDescent="0.15">
      <c r="B58" t="s">
        <v>154</v>
      </c>
      <c r="C58" s="12">
        <v>106</v>
      </c>
      <c r="D58" s="8">
        <v>3.05</v>
      </c>
      <c r="E58" s="12">
        <v>99</v>
      </c>
      <c r="F58" s="8">
        <v>5.92</v>
      </c>
      <c r="G58" s="12">
        <v>7</v>
      </c>
      <c r="H58" s="8">
        <v>0.39</v>
      </c>
      <c r="I58" s="12">
        <v>0</v>
      </c>
    </row>
    <row r="59" spans="2:9" ht="15" customHeight="1" x14ac:dyDescent="0.15">
      <c r="B59" t="s">
        <v>143</v>
      </c>
      <c r="C59" s="12">
        <v>92</v>
      </c>
      <c r="D59" s="8">
        <v>2.64</v>
      </c>
      <c r="E59" s="12">
        <v>50</v>
      </c>
      <c r="F59" s="8">
        <v>2.99</v>
      </c>
      <c r="G59" s="12">
        <v>42</v>
      </c>
      <c r="H59" s="8">
        <v>2.3199999999999998</v>
      </c>
      <c r="I59" s="12">
        <v>0</v>
      </c>
    </row>
    <row r="60" spans="2:9" ht="15" customHeight="1" x14ac:dyDescent="0.15">
      <c r="B60" t="s">
        <v>157</v>
      </c>
      <c r="C60" s="12">
        <v>77</v>
      </c>
      <c r="D60" s="8">
        <v>2.21</v>
      </c>
      <c r="E60" s="12">
        <v>63</v>
      </c>
      <c r="F60" s="8">
        <v>3.77</v>
      </c>
      <c r="G60" s="12">
        <v>14</v>
      </c>
      <c r="H60" s="8">
        <v>0.77</v>
      </c>
      <c r="I60" s="12">
        <v>0</v>
      </c>
    </row>
    <row r="61" spans="2:9" ht="15" customHeight="1" x14ac:dyDescent="0.15">
      <c r="B61" t="s">
        <v>146</v>
      </c>
      <c r="C61" s="12">
        <v>64</v>
      </c>
      <c r="D61" s="8">
        <v>1.84</v>
      </c>
      <c r="E61" s="12">
        <v>7</v>
      </c>
      <c r="F61" s="8">
        <v>0.42</v>
      </c>
      <c r="G61" s="12">
        <v>57</v>
      </c>
      <c r="H61" s="8">
        <v>3.15</v>
      </c>
      <c r="I61" s="12">
        <v>0</v>
      </c>
    </row>
    <row r="62" spans="2:9" ht="15" customHeight="1" x14ac:dyDescent="0.15">
      <c r="B62" t="s">
        <v>172</v>
      </c>
      <c r="C62" s="12">
        <v>63</v>
      </c>
      <c r="D62" s="8">
        <v>1.81</v>
      </c>
      <c r="E62" s="12">
        <v>6</v>
      </c>
      <c r="F62" s="8">
        <v>0.36</v>
      </c>
      <c r="G62" s="12">
        <v>57</v>
      </c>
      <c r="H62" s="8">
        <v>3.15</v>
      </c>
      <c r="I62" s="12">
        <v>0</v>
      </c>
    </row>
    <row r="63" spans="2:9" ht="15" customHeight="1" x14ac:dyDescent="0.15">
      <c r="B63" t="s">
        <v>153</v>
      </c>
      <c r="C63" s="12">
        <v>59</v>
      </c>
      <c r="D63" s="8">
        <v>1.7</v>
      </c>
      <c r="E63" s="12">
        <v>34</v>
      </c>
      <c r="F63" s="8">
        <v>2.0299999999999998</v>
      </c>
      <c r="G63" s="12">
        <v>25</v>
      </c>
      <c r="H63" s="8">
        <v>1.38</v>
      </c>
      <c r="I63" s="12">
        <v>0</v>
      </c>
    </row>
    <row r="64" spans="2:9" ht="15" customHeight="1" x14ac:dyDescent="0.15">
      <c r="B64" t="s">
        <v>141</v>
      </c>
      <c r="C64" s="12">
        <v>58</v>
      </c>
      <c r="D64" s="8">
        <v>1.67</v>
      </c>
      <c r="E64" s="12">
        <v>2</v>
      </c>
      <c r="F64" s="8">
        <v>0.12</v>
      </c>
      <c r="G64" s="12">
        <v>56</v>
      </c>
      <c r="H64" s="8">
        <v>3.1</v>
      </c>
      <c r="I64" s="12">
        <v>0</v>
      </c>
    </row>
    <row r="65" spans="2:9" ht="15" customHeight="1" x14ac:dyDescent="0.15">
      <c r="B65" t="s">
        <v>156</v>
      </c>
      <c r="C65" s="12">
        <v>58</v>
      </c>
      <c r="D65" s="8">
        <v>1.67</v>
      </c>
      <c r="E65" s="12">
        <v>46</v>
      </c>
      <c r="F65" s="8">
        <v>2.75</v>
      </c>
      <c r="G65" s="12">
        <v>12</v>
      </c>
      <c r="H65" s="8">
        <v>0.66</v>
      </c>
      <c r="I65" s="12">
        <v>0</v>
      </c>
    </row>
    <row r="66" spans="2:9" ht="15" customHeight="1" x14ac:dyDescent="0.15">
      <c r="B66" t="s">
        <v>173</v>
      </c>
      <c r="C66" s="12">
        <v>52</v>
      </c>
      <c r="D66" s="8">
        <v>1.49</v>
      </c>
      <c r="E66" s="12">
        <v>40</v>
      </c>
      <c r="F66" s="8">
        <v>2.39</v>
      </c>
      <c r="G66" s="12">
        <v>12</v>
      </c>
      <c r="H66" s="8">
        <v>0.66</v>
      </c>
      <c r="I66" s="12">
        <v>0</v>
      </c>
    </row>
    <row r="67" spans="2:9" ht="15" customHeight="1" x14ac:dyDescent="0.15">
      <c r="B67" t="s">
        <v>149</v>
      </c>
      <c r="C67" s="12">
        <v>51</v>
      </c>
      <c r="D67" s="8">
        <v>1.47</v>
      </c>
      <c r="E67" s="12">
        <v>4</v>
      </c>
      <c r="F67" s="8">
        <v>0.24</v>
      </c>
      <c r="G67" s="12">
        <v>47</v>
      </c>
      <c r="H67" s="8">
        <v>2.6</v>
      </c>
      <c r="I67" s="12">
        <v>0</v>
      </c>
    </row>
    <row r="68" spans="2:9" ht="15" customHeight="1" x14ac:dyDescent="0.15">
      <c r="B68" t="s">
        <v>140</v>
      </c>
      <c r="C68" s="12">
        <v>50</v>
      </c>
      <c r="D68" s="8">
        <v>1.44</v>
      </c>
      <c r="E68" s="12">
        <v>2</v>
      </c>
      <c r="F68" s="8">
        <v>0.12</v>
      </c>
      <c r="G68" s="12">
        <v>48</v>
      </c>
      <c r="H68" s="8">
        <v>2.65</v>
      </c>
      <c r="I68" s="12">
        <v>0</v>
      </c>
    </row>
    <row r="69" spans="2:9" ht="15" customHeight="1" x14ac:dyDescent="0.15">
      <c r="B69" t="s">
        <v>139</v>
      </c>
      <c r="C69" s="12">
        <v>49</v>
      </c>
      <c r="D69" s="8">
        <v>1.41</v>
      </c>
      <c r="E69" s="12">
        <v>4</v>
      </c>
      <c r="F69" s="8">
        <v>0.24</v>
      </c>
      <c r="G69" s="12">
        <v>45</v>
      </c>
      <c r="H69" s="8">
        <v>2.4900000000000002</v>
      </c>
      <c r="I69" s="12">
        <v>0</v>
      </c>
    </row>
    <row r="70" spans="2:9" ht="15" customHeight="1" x14ac:dyDescent="0.15">
      <c r="B70" t="s">
        <v>158</v>
      </c>
      <c r="C70" s="12">
        <v>48</v>
      </c>
      <c r="D70" s="8">
        <v>1.38</v>
      </c>
      <c r="E70" s="12">
        <v>7</v>
      </c>
      <c r="F70" s="8">
        <v>0.42</v>
      </c>
      <c r="G70" s="12">
        <v>41</v>
      </c>
      <c r="H70" s="8">
        <v>2.27</v>
      </c>
      <c r="I70" s="12">
        <v>0</v>
      </c>
    </row>
    <row r="71" spans="2:9" ht="15" customHeight="1" x14ac:dyDescent="0.15">
      <c r="B71" t="s">
        <v>171</v>
      </c>
      <c r="C71" s="12">
        <v>47</v>
      </c>
      <c r="D71" s="8">
        <v>1.35</v>
      </c>
      <c r="E71" s="12">
        <v>9</v>
      </c>
      <c r="F71" s="8">
        <v>0.54</v>
      </c>
      <c r="G71" s="12">
        <v>38</v>
      </c>
      <c r="H71" s="8">
        <v>2.1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441</v>
      </c>
      <c r="D6" s="8">
        <v>15.26</v>
      </c>
      <c r="E6" s="12">
        <v>64</v>
      </c>
      <c r="F6" s="8">
        <v>4.67</v>
      </c>
      <c r="G6" s="12">
        <v>377</v>
      </c>
      <c r="H6" s="8">
        <v>24.84</v>
      </c>
      <c r="I6" s="12">
        <v>0</v>
      </c>
    </row>
    <row r="7" spans="2:9" ht="15" customHeight="1" x14ac:dyDescent="0.15">
      <c r="B7" t="s">
        <v>64</v>
      </c>
      <c r="C7" s="12">
        <v>155</v>
      </c>
      <c r="D7" s="8">
        <v>5.37</v>
      </c>
      <c r="E7" s="12">
        <v>33</v>
      </c>
      <c r="F7" s="8">
        <v>2.41</v>
      </c>
      <c r="G7" s="12">
        <v>122</v>
      </c>
      <c r="H7" s="8">
        <v>8.0399999999999991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38</v>
      </c>
      <c r="D9" s="8">
        <v>1.32</v>
      </c>
      <c r="E9" s="12">
        <v>2</v>
      </c>
      <c r="F9" s="8">
        <v>0.15</v>
      </c>
      <c r="G9" s="12">
        <v>36</v>
      </c>
      <c r="H9" s="8">
        <v>2.37</v>
      </c>
      <c r="I9" s="12">
        <v>0</v>
      </c>
    </row>
    <row r="10" spans="2:9" ht="15" customHeight="1" x14ac:dyDescent="0.15">
      <c r="B10" t="s">
        <v>67</v>
      </c>
      <c r="C10" s="12">
        <v>35</v>
      </c>
      <c r="D10" s="8">
        <v>1.21</v>
      </c>
      <c r="E10" s="12">
        <v>18</v>
      </c>
      <c r="F10" s="8">
        <v>1.31</v>
      </c>
      <c r="G10" s="12">
        <v>17</v>
      </c>
      <c r="H10" s="8">
        <v>1.1200000000000001</v>
      </c>
      <c r="I10" s="12">
        <v>0</v>
      </c>
    </row>
    <row r="11" spans="2:9" ht="15" customHeight="1" x14ac:dyDescent="0.15">
      <c r="B11" t="s">
        <v>68</v>
      </c>
      <c r="C11" s="12">
        <v>630</v>
      </c>
      <c r="D11" s="8">
        <v>21.81</v>
      </c>
      <c r="E11" s="12">
        <v>273</v>
      </c>
      <c r="F11" s="8">
        <v>19.91</v>
      </c>
      <c r="G11" s="12">
        <v>357</v>
      </c>
      <c r="H11" s="8">
        <v>23.52</v>
      </c>
      <c r="I11" s="12">
        <v>0</v>
      </c>
    </row>
    <row r="12" spans="2:9" ht="15" customHeight="1" x14ac:dyDescent="0.15">
      <c r="B12" t="s">
        <v>69</v>
      </c>
      <c r="C12" s="12">
        <v>19</v>
      </c>
      <c r="D12" s="8">
        <v>0.66</v>
      </c>
      <c r="E12" s="12">
        <v>3</v>
      </c>
      <c r="F12" s="8">
        <v>0.22</v>
      </c>
      <c r="G12" s="12">
        <v>16</v>
      </c>
      <c r="H12" s="8">
        <v>1.05</v>
      </c>
      <c r="I12" s="12">
        <v>0</v>
      </c>
    </row>
    <row r="13" spans="2:9" ht="15" customHeight="1" x14ac:dyDescent="0.15">
      <c r="B13" t="s">
        <v>70</v>
      </c>
      <c r="C13" s="12">
        <v>394</v>
      </c>
      <c r="D13" s="8">
        <v>13.64</v>
      </c>
      <c r="E13" s="12">
        <v>203</v>
      </c>
      <c r="F13" s="8">
        <v>14.81</v>
      </c>
      <c r="G13" s="12">
        <v>191</v>
      </c>
      <c r="H13" s="8">
        <v>12.58</v>
      </c>
      <c r="I13" s="12">
        <v>0</v>
      </c>
    </row>
    <row r="14" spans="2:9" ht="15" customHeight="1" x14ac:dyDescent="0.15">
      <c r="B14" t="s">
        <v>71</v>
      </c>
      <c r="C14" s="12">
        <v>140</v>
      </c>
      <c r="D14" s="8">
        <v>4.8499999999999996</v>
      </c>
      <c r="E14" s="12">
        <v>51</v>
      </c>
      <c r="F14" s="8">
        <v>3.72</v>
      </c>
      <c r="G14" s="12">
        <v>89</v>
      </c>
      <c r="H14" s="8">
        <v>5.86</v>
      </c>
      <c r="I14" s="12">
        <v>0</v>
      </c>
    </row>
    <row r="15" spans="2:9" ht="15" customHeight="1" x14ac:dyDescent="0.15">
      <c r="B15" t="s">
        <v>72</v>
      </c>
      <c r="C15" s="12">
        <v>348</v>
      </c>
      <c r="D15" s="8">
        <v>12.05</v>
      </c>
      <c r="E15" s="12">
        <v>269</v>
      </c>
      <c r="F15" s="8">
        <v>19.62</v>
      </c>
      <c r="G15" s="12">
        <v>79</v>
      </c>
      <c r="H15" s="8">
        <v>5.2</v>
      </c>
      <c r="I15" s="12">
        <v>0</v>
      </c>
    </row>
    <row r="16" spans="2:9" ht="15" customHeight="1" x14ac:dyDescent="0.15">
      <c r="B16" t="s">
        <v>73</v>
      </c>
      <c r="C16" s="12">
        <v>360</v>
      </c>
      <c r="D16" s="8">
        <v>12.46</v>
      </c>
      <c r="E16" s="12">
        <v>270</v>
      </c>
      <c r="F16" s="8">
        <v>19.690000000000001</v>
      </c>
      <c r="G16" s="12">
        <v>90</v>
      </c>
      <c r="H16" s="8">
        <v>5.93</v>
      </c>
      <c r="I16" s="12">
        <v>0</v>
      </c>
    </row>
    <row r="17" spans="2:9" ht="15" customHeight="1" x14ac:dyDescent="0.15">
      <c r="B17" t="s">
        <v>74</v>
      </c>
      <c r="C17" s="12">
        <v>98</v>
      </c>
      <c r="D17" s="8">
        <v>3.39</v>
      </c>
      <c r="E17" s="12">
        <v>66</v>
      </c>
      <c r="F17" s="8">
        <v>4.8099999999999996</v>
      </c>
      <c r="G17" s="12">
        <v>32</v>
      </c>
      <c r="H17" s="8">
        <v>2.11</v>
      </c>
      <c r="I17" s="12">
        <v>0</v>
      </c>
    </row>
    <row r="18" spans="2:9" ht="15" customHeight="1" x14ac:dyDescent="0.15">
      <c r="B18" t="s">
        <v>75</v>
      </c>
      <c r="C18" s="12">
        <v>162</v>
      </c>
      <c r="D18" s="8">
        <v>5.61</v>
      </c>
      <c r="E18" s="12">
        <v>104</v>
      </c>
      <c r="F18" s="8">
        <v>7.59</v>
      </c>
      <c r="G18" s="12">
        <v>58</v>
      </c>
      <c r="H18" s="8">
        <v>3.82</v>
      </c>
      <c r="I18" s="12">
        <v>0</v>
      </c>
    </row>
    <row r="19" spans="2:9" ht="15" customHeight="1" x14ac:dyDescent="0.15">
      <c r="B19" t="s">
        <v>76</v>
      </c>
      <c r="C19" s="12">
        <v>69</v>
      </c>
      <c r="D19" s="8">
        <v>2.39</v>
      </c>
      <c r="E19" s="12">
        <v>15</v>
      </c>
      <c r="F19" s="8">
        <v>1.0900000000000001</v>
      </c>
      <c r="G19" s="12">
        <v>54</v>
      </c>
      <c r="H19" s="8">
        <v>3.56</v>
      </c>
      <c r="I19" s="12">
        <v>0</v>
      </c>
    </row>
    <row r="20" spans="2:9" ht="15" customHeight="1" x14ac:dyDescent="0.15">
      <c r="B20" s="9" t="s">
        <v>216</v>
      </c>
      <c r="C20" s="12">
        <f>SUM(LTBL_14106[総数／事業所数])</f>
        <v>2889</v>
      </c>
      <c r="E20" s="12">
        <f>SUBTOTAL(109,LTBL_14106[個人／事業所数])</f>
        <v>1371</v>
      </c>
      <c r="G20" s="12">
        <f>SUBTOTAL(109,LTBL_14106[法人／事業所数])</f>
        <v>1518</v>
      </c>
      <c r="I20" s="12">
        <f>SUBTOTAL(109,LTBL_14106[法人以外の団体／事業所数])</f>
        <v>0</v>
      </c>
    </row>
    <row r="21" spans="2:9" ht="15" customHeight="1" x14ac:dyDescent="0.15">
      <c r="E21" s="11">
        <f>LTBL_14106[[#Totals],[個人／事業所数]]/LTBL_14106[[#Totals],[総数／事業所数]]</f>
        <v>0.47455867082035308</v>
      </c>
      <c r="G21" s="11">
        <f>LTBL_14106[[#Totals],[法人／事業所数]]/LTBL_14106[[#Totals],[総数／事業所数]]</f>
        <v>0.52544132917964692</v>
      </c>
      <c r="I21" s="11">
        <f>LTBL_14106[[#Totals],[法人以外の団体／事業所数]]/LTBL_14106[[#Totals],[総数／事業所数]]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249</v>
      </c>
      <c r="E23" s="10" t="s">
        <v>80</v>
      </c>
      <c r="F23" s="10" t="s">
        <v>250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318</v>
      </c>
      <c r="D29" s="8">
        <v>11.01</v>
      </c>
      <c r="E29" s="12">
        <v>262</v>
      </c>
      <c r="F29" s="8">
        <v>19.11</v>
      </c>
      <c r="G29" s="12">
        <v>56</v>
      </c>
      <c r="H29" s="8">
        <v>3.69</v>
      </c>
      <c r="I29" s="12">
        <v>0</v>
      </c>
    </row>
    <row r="30" spans="2:9" ht="15" customHeight="1" x14ac:dyDescent="0.15">
      <c r="B30" t="s">
        <v>96</v>
      </c>
      <c r="C30" s="12">
        <v>308</v>
      </c>
      <c r="D30" s="8">
        <v>10.66</v>
      </c>
      <c r="E30" s="12">
        <v>199</v>
      </c>
      <c r="F30" s="8">
        <v>14.51</v>
      </c>
      <c r="G30" s="12">
        <v>109</v>
      </c>
      <c r="H30" s="8">
        <v>7.18</v>
      </c>
      <c r="I30" s="12">
        <v>0</v>
      </c>
    </row>
    <row r="31" spans="2:9" ht="15" customHeight="1" x14ac:dyDescent="0.15">
      <c r="B31" t="s">
        <v>100</v>
      </c>
      <c r="C31" s="12">
        <v>295</v>
      </c>
      <c r="D31" s="8">
        <v>10.210000000000001</v>
      </c>
      <c r="E31" s="12">
        <v>241</v>
      </c>
      <c r="F31" s="8">
        <v>17.579999999999998</v>
      </c>
      <c r="G31" s="12">
        <v>54</v>
      </c>
      <c r="H31" s="8">
        <v>3.56</v>
      </c>
      <c r="I31" s="12">
        <v>0</v>
      </c>
    </row>
    <row r="32" spans="2:9" ht="15" customHeight="1" x14ac:dyDescent="0.15">
      <c r="B32" t="s">
        <v>92</v>
      </c>
      <c r="C32" s="12">
        <v>191</v>
      </c>
      <c r="D32" s="8">
        <v>6.61</v>
      </c>
      <c r="E32" s="12">
        <v>109</v>
      </c>
      <c r="F32" s="8">
        <v>7.95</v>
      </c>
      <c r="G32" s="12">
        <v>82</v>
      </c>
      <c r="H32" s="8">
        <v>5.4</v>
      </c>
      <c r="I32" s="12">
        <v>0</v>
      </c>
    </row>
    <row r="33" spans="2:9" ht="15" customHeight="1" x14ac:dyDescent="0.15">
      <c r="B33" t="s">
        <v>94</v>
      </c>
      <c r="C33" s="12">
        <v>164</v>
      </c>
      <c r="D33" s="8">
        <v>5.68</v>
      </c>
      <c r="E33" s="12">
        <v>76</v>
      </c>
      <c r="F33" s="8">
        <v>5.54</v>
      </c>
      <c r="G33" s="12">
        <v>88</v>
      </c>
      <c r="H33" s="8">
        <v>5.8</v>
      </c>
      <c r="I33" s="12">
        <v>0</v>
      </c>
    </row>
    <row r="34" spans="2:9" ht="15" customHeight="1" x14ac:dyDescent="0.15">
      <c r="B34" t="s">
        <v>85</v>
      </c>
      <c r="C34" s="12">
        <v>155</v>
      </c>
      <c r="D34" s="8">
        <v>5.37</v>
      </c>
      <c r="E34" s="12">
        <v>19</v>
      </c>
      <c r="F34" s="8">
        <v>1.39</v>
      </c>
      <c r="G34" s="12">
        <v>136</v>
      </c>
      <c r="H34" s="8">
        <v>8.9600000000000009</v>
      </c>
      <c r="I34" s="12">
        <v>0</v>
      </c>
    </row>
    <row r="35" spans="2:9" ht="15" customHeight="1" x14ac:dyDescent="0.15">
      <c r="B35" t="s">
        <v>86</v>
      </c>
      <c r="C35" s="12">
        <v>150</v>
      </c>
      <c r="D35" s="8">
        <v>5.19</v>
      </c>
      <c r="E35" s="12">
        <v>31</v>
      </c>
      <c r="F35" s="8">
        <v>2.2599999999999998</v>
      </c>
      <c r="G35" s="12">
        <v>119</v>
      </c>
      <c r="H35" s="8">
        <v>7.84</v>
      </c>
      <c r="I35" s="12">
        <v>0</v>
      </c>
    </row>
    <row r="36" spans="2:9" ht="15" customHeight="1" x14ac:dyDescent="0.15">
      <c r="B36" t="s">
        <v>87</v>
      </c>
      <c r="C36" s="12">
        <v>136</v>
      </c>
      <c r="D36" s="8">
        <v>4.71</v>
      </c>
      <c r="E36" s="12">
        <v>14</v>
      </c>
      <c r="F36" s="8">
        <v>1.02</v>
      </c>
      <c r="G36" s="12">
        <v>122</v>
      </c>
      <c r="H36" s="8">
        <v>8.0399999999999991</v>
      </c>
      <c r="I36" s="12">
        <v>0</v>
      </c>
    </row>
    <row r="37" spans="2:9" ht="15" customHeight="1" x14ac:dyDescent="0.15">
      <c r="B37" t="s">
        <v>103</v>
      </c>
      <c r="C37" s="12">
        <v>126</v>
      </c>
      <c r="D37" s="8">
        <v>4.3600000000000003</v>
      </c>
      <c r="E37" s="12">
        <v>104</v>
      </c>
      <c r="F37" s="8">
        <v>7.59</v>
      </c>
      <c r="G37" s="12">
        <v>22</v>
      </c>
      <c r="H37" s="8">
        <v>1.45</v>
      </c>
      <c r="I37" s="12">
        <v>0</v>
      </c>
    </row>
    <row r="38" spans="2:9" ht="15" customHeight="1" x14ac:dyDescent="0.15">
      <c r="B38" t="s">
        <v>102</v>
      </c>
      <c r="C38" s="12">
        <v>98</v>
      </c>
      <c r="D38" s="8">
        <v>3.39</v>
      </c>
      <c r="E38" s="12">
        <v>66</v>
      </c>
      <c r="F38" s="8">
        <v>4.8099999999999996</v>
      </c>
      <c r="G38" s="12">
        <v>32</v>
      </c>
      <c r="H38" s="8">
        <v>2.11</v>
      </c>
      <c r="I38" s="12">
        <v>0</v>
      </c>
    </row>
    <row r="39" spans="2:9" ht="15" customHeight="1" x14ac:dyDescent="0.15">
      <c r="B39" t="s">
        <v>95</v>
      </c>
      <c r="C39" s="12">
        <v>78</v>
      </c>
      <c r="D39" s="8">
        <v>2.7</v>
      </c>
      <c r="E39" s="12">
        <v>4</v>
      </c>
      <c r="F39" s="8">
        <v>0.28999999999999998</v>
      </c>
      <c r="G39" s="12">
        <v>74</v>
      </c>
      <c r="H39" s="8">
        <v>4.87</v>
      </c>
      <c r="I39" s="12">
        <v>0</v>
      </c>
    </row>
    <row r="40" spans="2:9" ht="15" customHeight="1" x14ac:dyDescent="0.15">
      <c r="B40" t="s">
        <v>91</v>
      </c>
      <c r="C40" s="12">
        <v>69</v>
      </c>
      <c r="D40" s="8">
        <v>2.39</v>
      </c>
      <c r="E40" s="12">
        <v>44</v>
      </c>
      <c r="F40" s="8">
        <v>3.21</v>
      </c>
      <c r="G40" s="12">
        <v>25</v>
      </c>
      <c r="H40" s="8">
        <v>1.65</v>
      </c>
      <c r="I40" s="12">
        <v>0</v>
      </c>
    </row>
    <row r="41" spans="2:9" ht="15" customHeight="1" x14ac:dyDescent="0.15">
      <c r="B41" t="s">
        <v>98</v>
      </c>
      <c r="C41" s="12">
        <v>69</v>
      </c>
      <c r="D41" s="8">
        <v>2.39</v>
      </c>
      <c r="E41" s="12">
        <v>13</v>
      </c>
      <c r="F41" s="8">
        <v>0.95</v>
      </c>
      <c r="G41" s="12">
        <v>56</v>
      </c>
      <c r="H41" s="8">
        <v>3.69</v>
      </c>
      <c r="I41" s="12">
        <v>0</v>
      </c>
    </row>
    <row r="42" spans="2:9" ht="15" customHeight="1" x14ac:dyDescent="0.15">
      <c r="B42" t="s">
        <v>93</v>
      </c>
      <c r="C42" s="12">
        <v>68</v>
      </c>
      <c r="D42" s="8">
        <v>2.35</v>
      </c>
      <c r="E42" s="12">
        <v>24</v>
      </c>
      <c r="F42" s="8">
        <v>1.75</v>
      </c>
      <c r="G42" s="12">
        <v>44</v>
      </c>
      <c r="H42" s="8">
        <v>2.9</v>
      </c>
      <c r="I42" s="12">
        <v>0</v>
      </c>
    </row>
    <row r="43" spans="2:9" ht="15" customHeight="1" x14ac:dyDescent="0.15">
      <c r="B43" t="s">
        <v>97</v>
      </c>
      <c r="C43" s="12">
        <v>67</v>
      </c>
      <c r="D43" s="8">
        <v>2.3199999999999998</v>
      </c>
      <c r="E43" s="12">
        <v>38</v>
      </c>
      <c r="F43" s="8">
        <v>2.77</v>
      </c>
      <c r="G43" s="12">
        <v>29</v>
      </c>
      <c r="H43" s="8">
        <v>1.91</v>
      </c>
      <c r="I43" s="12">
        <v>0</v>
      </c>
    </row>
    <row r="44" spans="2:9" ht="15" customHeight="1" x14ac:dyDescent="0.15">
      <c r="B44" t="s">
        <v>101</v>
      </c>
      <c r="C44" s="12">
        <v>46</v>
      </c>
      <c r="D44" s="8">
        <v>1.59</v>
      </c>
      <c r="E44" s="12">
        <v>21</v>
      </c>
      <c r="F44" s="8">
        <v>1.53</v>
      </c>
      <c r="G44" s="12">
        <v>25</v>
      </c>
      <c r="H44" s="8">
        <v>1.65</v>
      </c>
      <c r="I44" s="12">
        <v>0</v>
      </c>
    </row>
    <row r="45" spans="2:9" ht="15" customHeight="1" x14ac:dyDescent="0.15">
      <c r="B45" t="s">
        <v>105</v>
      </c>
      <c r="C45" s="12">
        <v>36</v>
      </c>
      <c r="D45" s="8">
        <v>1.25</v>
      </c>
      <c r="E45" s="12">
        <v>8</v>
      </c>
      <c r="F45" s="8">
        <v>0.57999999999999996</v>
      </c>
      <c r="G45" s="12">
        <v>28</v>
      </c>
      <c r="H45" s="8">
        <v>1.84</v>
      </c>
      <c r="I45" s="12">
        <v>0</v>
      </c>
    </row>
    <row r="46" spans="2:9" ht="15" customHeight="1" x14ac:dyDescent="0.15">
      <c r="B46" t="s">
        <v>108</v>
      </c>
      <c r="C46" s="12">
        <v>36</v>
      </c>
      <c r="D46" s="8">
        <v>1.25</v>
      </c>
      <c r="E46" s="12">
        <v>0</v>
      </c>
      <c r="F46" s="8">
        <v>0</v>
      </c>
      <c r="G46" s="12">
        <v>36</v>
      </c>
      <c r="H46" s="8">
        <v>2.37</v>
      </c>
      <c r="I46" s="12">
        <v>0</v>
      </c>
    </row>
    <row r="47" spans="2:9" ht="15" customHeight="1" x14ac:dyDescent="0.15">
      <c r="B47" t="s">
        <v>90</v>
      </c>
      <c r="C47" s="12">
        <v>34</v>
      </c>
      <c r="D47" s="8">
        <v>1.18</v>
      </c>
      <c r="E47" s="12">
        <v>1</v>
      </c>
      <c r="F47" s="8">
        <v>7.0000000000000007E-2</v>
      </c>
      <c r="G47" s="12">
        <v>33</v>
      </c>
      <c r="H47" s="8">
        <v>2.17</v>
      </c>
      <c r="I47" s="12">
        <v>0</v>
      </c>
    </row>
    <row r="48" spans="2:9" ht="15" customHeight="1" x14ac:dyDescent="0.15">
      <c r="B48" t="s">
        <v>113</v>
      </c>
      <c r="C48" s="12">
        <v>27</v>
      </c>
      <c r="D48" s="8">
        <v>0.93</v>
      </c>
      <c r="E48" s="12">
        <v>8</v>
      </c>
      <c r="F48" s="8">
        <v>0.57999999999999996</v>
      </c>
      <c r="G48" s="12">
        <v>19</v>
      </c>
      <c r="H48" s="8">
        <v>1.25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218</v>
      </c>
      <c r="D52" s="8">
        <v>7.55</v>
      </c>
      <c r="E52" s="12">
        <v>167</v>
      </c>
      <c r="F52" s="8">
        <v>12.18</v>
      </c>
      <c r="G52" s="12">
        <v>51</v>
      </c>
      <c r="H52" s="8">
        <v>3.36</v>
      </c>
      <c r="I52" s="12">
        <v>0</v>
      </c>
    </row>
    <row r="53" spans="2:9" ht="15" customHeight="1" x14ac:dyDescent="0.15">
      <c r="B53" t="s">
        <v>155</v>
      </c>
      <c r="C53" s="12">
        <v>140</v>
      </c>
      <c r="D53" s="8">
        <v>4.8499999999999996</v>
      </c>
      <c r="E53" s="12">
        <v>119</v>
      </c>
      <c r="F53" s="8">
        <v>8.68</v>
      </c>
      <c r="G53" s="12">
        <v>21</v>
      </c>
      <c r="H53" s="8">
        <v>1.38</v>
      </c>
      <c r="I53" s="12">
        <v>0</v>
      </c>
    </row>
    <row r="54" spans="2:9" ht="15" customHeight="1" x14ac:dyDescent="0.15">
      <c r="B54" t="s">
        <v>151</v>
      </c>
      <c r="C54" s="12">
        <v>87</v>
      </c>
      <c r="D54" s="8">
        <v>3.01</v>
      </c>
      <c r="E54" s="12">
        <v>79</v>
      </c>
      <c r="F54" s="8">
        <v>5.76</v>
      </c>
      <c r="G54" s="12">
        <v>8</v>
      </c>
      <c r="H54" s="8">
        <v>0.53</v>
      </c>
      <c r="I54" s="12">
        <v>0</v>
      </c>
    </row>
    <row r="55" spans="2:9" ht="15" customHeight="1" x14ac:dyDescent="0.15">
      <c r="B55" t="s">
        <v>154</v>
      </c>
      <c r="C55" s="12">
        <v>85</v>
      </c>
      <c r="D55" s="8">
        <v>2.94</v>
      </c>
      <c r="E55" s="12">
        <v>82</v>
      </c>
      <c r="F55" s="8">
        <v>5.98</v>
      </c>
      <c r="G55" s="12">
        <v>3</v>
      </c>
      <c r="H55" s="8">
        <v>0.2</v>
      </c>
      <c r="I55" s="12">
        <v>0</v>
      </c>
    </row>
    <row r="56" spans="2:9" ht="15" customHeight="1" x14ac:dyDescent="0.15">
      <c r="B56" t="s">
        <v>150</v>
      </c>
      <c r="C56" s="12">
        <v>84</v>
      </c>
      <c r="D56" s="8">
        <v>2.91</v>
      </c>
      <c r="E56" s="12">
        <v>63</v>
      </c>
      <c r="F56" s="8">
        <v>4.5999999999999996</v>
      </c>
      <c r="G56" s="12">
        <v>21</v>
      </c>
      <c r="H56" s="8">
        <v>1.38</v>
      </c>
      <c r="I56" s="12">
        <v>0</v>
      </c>
    </row>
    <row r="57" spans="2:9" ht="15" customHeight="1" x14ac:dyDescent="0.15">
      <c r="B57" t="s">
        <v>143</v>
      </c>
      <c r="C57" s="12">
        <v>76</v>
      </c>
      <c r="D57" s="8">
        <v>2.63</v>
      </c>
      <c r="E57" s="12">
        <v>40</v>
      </c>
      <c r="F57" s="8">
        <v>2.92</v>
      </c>
      <c r="G57" s="12">
        <v>36</v>
      </c>
      <c r="H57" s="8">
        <v>2.37</v>
      </c>
      <c r="I57" s="12">
        <v>0</v>
      </c>
    </row>
    <row r="58" spans="2:9" ht="15" customHeight="1" x14ac:dyDescent="0.15">
      <c r="B58" t="s">
        <v>157</v>
      </c>
      <c r="C58" s="12">
        <v>75</v>
      </c>
      <c r="D58" s="8">
        <v>2.6</v>
      </c>
      <c r="E58" s="12">
        <v>65</v>
      </c>
      <c r="F58" s="8">
        <v>4.74</v>
      </c>
      <c r="G58" s="12">
        <v>10</v>
      </c>
      <c r="H58" s="8">
        <v>0.66</v>
      </c>
      <c r="I58" s="12">
        <v>0</v>
      </c>
    </row>
    <row r="59" spans="2:9" ht="15" customHeight="1" x14ac:dyDescent="0.15">
      <c r="B59" t="s">
        <v>152</v>
      </c>
      <c r="C59" s="12">
        <v>70</v>
      </c>
      <c r="D59" s="8">
        <v>2.42</v>
      </c>
      <c r="E59" s="12">
        <v>67</v>
      </c>
      <c r="F59" s="8">
        <v>4.8899999999999997</v>
      </c>
      <c r="G59" s="12">
        <v>3</v>
      </c>
      <c r="H59" s="8">
        <v>0.2</v>
      </c>
      <c r="I59" s="12">
        <v>0</v>
      </c>
    </row>
    <row r="60" spans="2:9" ht="15" customHeight="1" x14ac:dyDescent="0.15">
      <c r="B60" t="s">
        <v>141</v>
      </c>
      <c r="C60" s="12">
        <v>61</v>
      </c>
      <c r="D60" s="8">
        <v>2.11</v>
      </c>
      <c r="E60" s="12">
        <v>2</v>
      </c>
      <c r="F60" s="8">
        <v>0.15</v>
      </c>
      <c r="G60" s="12">
        <v>59</v>
      </c>
      <c r="H60" s="8">
        <v>3.89</v>
      </c>
      <c r="I60" s="12">
        <v>0</v>
      </c>
    </row>
    <row r="61" spans="2:9" ht="15" customHeight="1" x14ac:dyDescent="0.15">
      <c r="B61" t="s">
        <v>145</v>
      </c>
      <c r="C61" s="12">
        <v>60</v>
      </c>
      <c r="D61" s="8">
        <v>2.08</v>
      </c>
      <c r="E61" s="12">
        <v>34</v>
      </c>
      <c r="F61" s="8">
        <v>2.48</v>
      </c>
      <c r="G61" s="12">
        <v>26</v>
      </c>
      <c r="H61" s="8">
        <v>1.71</v>
      </c>
      <c r="I61" s="12">
        <v>0</v>
      </c>
    </row>
    <row r="62" spans="2:9" ht="15" customHeight="1" x14ac:dyDescent="0.15">
      <c r="B62" t="s">
        <v>146</v>
      </c>
      <c r="C62" s="12">
        <v>58</v>
      </c>
      <c r="D62" s="8">
        <v>2.0099999999999998</v>
      </c>
      <c r="E62" s="12">
        <v>4</v>
      </c>
      <c r="F62" s="8">
        <v>0.28999999999999998</v>
      </c>
      <c r="G62" s="12">
        <v>54</v>
      </c>
      <c r="H62" s="8">
        <v>3.56</v>
      </c>
      <c r="I62" s="12">
        <v>0</v>
      </c>
    </row>
    <row r="63" spans="2:9" ht="15" customHeight="1" x14ac:dyDescent="0.15">
      <c r="B63" t="s">
        <v>156</v>
      </c>
      <c r="C63" s="12">
        <v>56</v>
      </c>
      <c r="D63" s="8">
        <v>1.94</v>
      </c>
      <c r="E63" s="12">
        <v>39</v>
      </c>
      <c r="F63" s="8">
        <v>2.84</v>
      </c>
      <c r="G63" s="12">
        <v>17</v>
      </c>
      <c r="H63" s="8">
        <v>1.1200000000000001</v>
      </c>
      <c r="I63" s="12">
        <v>0</v>
      </c>
    </row>
    <row r="64" spans="2:9" ht="15" customHeight="1" x14ac:dyDescent="0.15">
      <c r="B64" t="s">
        <v>153</v>
      </c>
      <c r="C64" s="12">
        <v>53</v>
      </c>
      <c r="D64" s="8">
        <v>1.83</v>
      </c>
      <c r="E64" s="12">
        <v>34</v>
      </c>
      <c r="F64" s="8">
        <v>2.48</v>
      </c>
      <c r="G64" s="12">
        <v>19</v>
      </c>
      <c r="H64" s="8">
        <v>1.25</v>
      </c>
      <c r="I64" s="12">
        <v>0</v>
      </c>
    </row>
    <row r="65" spans="2:9" ht="15" customHeight="1" x14ac:dyDescent="0.15">
      <c r="B65" t="s">
        <v>140</v>
      </c>
      <c r="C65" s="12">
        <v>52</v>
      </c>
      <c r="D65" s="8">
        <v>1.8</v>
      </c>
      <c r="E65" s="12">
        <v>8</v>
      </c>
      <c r="F65" s="8">
        <v>0.57999999999999996</v>
      </c>
      <c r="G65" s="12">
        <v>44</v>
      </c>
      <c r="H65" s="8">
        <v>2.9</v>
      </c>
      <c r="I65" s="12">
        <v>0</v>
      </c>
    </row>
    <row r="66" spans="2:9" ht="15" customHeight="1" x14ac:dyDescent="0.15">
      <c r="B66" t="s">
        <v>139</v>
      </c>
      <c r="C66" s="12">
        <v>45</v>
      </c>
      <c r="D66" s="8">
        <v>1.56</v>
      </c>
      <c r="E66" s="12">
        <v>7</v>
      </c>
      <c r="F66" s="8">
        <v>0.51</v>
      </c>
      <c r="G66" s="12">
        <v>38</v>
      </c>
      <c r="H66" s="8">
        <v>2.5</v>
      </c>
      <c r="I66" s="12">
        <v>0</v>
      </c>
    </row>
    <row r="67" spans="2:9" ht="15" customHeight="1" x14ac:dyDescent="0.15">
      <c r="B67" t="s">
        <v>174</v>
      </c>
      <c r="C67" s="12">
        <v>42</v>
      </c>
      <c r="D67" s="8">
        <v>1.45</v>
      </c>
      <c r="E67" s="12">
        <v>9</v>
      </c>
      <c r="F67" s="8">
        <v>0.66</v>
      </c>
      <c r="G67" s="12">
        <v>33</v>
      </c>
      <c r="H67" s="8">
        <v>2.17</v>
      </c>
      <c r="I67" s="12">
        <v>0</v>
      </c>
    </row>
    <row r="68" spans="2:9" ht="15" customHeight="1" x14ac:dyDescent="0.15">
      <c r="B68" t="s">
        <v>158</v>
      </c>
      <c r="C68" s="12">
        <v>42</v>
      </c>
      <c r="D68" s="8">
        <v>1.45</v>
      </c>
      <c r="E68" s="12">
        <v>2</v>
      </c>
      <c r="F68" s="8">
        <v>0.15</v>
      </c>
      <c r="G68" s="12">
        <v>40</v>
      </c>
      <c r="H68" s="8">
        <v>2.64</v>
      </c>
      <c r="I68" s="12">
        <v>0</v>
      </c>
    </row>
    <row r="69" spans="2:9" ht="15" customHeight="1" x14ac:dyDescent="0.15">
      <c r="B69" t="s">
        <v>163</v>
      </c>
      <c r="C69" s="12">
        <v>42</v>
      </c>
      <c r="D69" s="8">
        <v>1.45</v>
      </c>
      <c r="E69" s="12">
        <v>38</v>
      </c>
      <c r="F69" s="8">
        <v>2.77</v>
      </c>
      <c r="G69" s="12">
        <v>4</v>
      </c>
      <c r="H69" s="8">
        <v>0.26</v>
      </c>
      <c r="I69" s="12">
        <v>0</v>
      </c>
    </row>
    <row r="70" spans="2:9" ht="15" customHeight="1" x14ac:dyDescent="0.15">
      <c r="B70" t="s">
        <v>144</v>
      </c>
      <c r="C70" s="12">
        <v>40</v>
      </c>
      <c r="D70" s="8">
        <v>1.38</v>
      </c>
      <c r="E70" s="12">
        <v>16</v>
      </c>
      <c r="F70" s="8">
        <v>1.17</v>
      </c>
      <c r="G70" s="12">
        <v>24</v>
      </c>
      <c r="H70" s="8">
        <v>1.58</v>
      </c>
      <c r="I70" s="12">
        <v>0</v>
      </c>
    </row>
    <row r="71" spans="2:9" ht="15" customHeight="1" x14ac:dyDescent="0.15">
      <c r="B71" t="s">
        <v>161</v>
      </c>
      <c r="C71" s="12">
        <v>37</v>
      </c>
      <c r="D71" s="8">
        <v>1.28</v>
      </c>
      <c r="E71" s="12">
        <v>17</v>
      </c>
      <c r="F71" s="8">
        <v>1.24</v>
      </c>
      <c r="G71" s="12">
        <v>20</v>
      </c>
      <c r="H71" s="8">
        <v>1.32</v>
      </c>
      <c r="I71" s="12">
        <v>0</v>
      </c>
    </row>
    <row r="72" spans="2:9" ht="15" customHeight="1" x14ac:dyDescent="0.15">
      <c r="B72" t="s">
        <v>175</v>
      </c>
      <c r="C72" s="12">
        <v>37</v>
      </c>
      <c r="D72" s="8">
        <v>1.28</v>
      </c>
      <c r="E72" s="12">
        <v>26</v>
      </c>
      <c r="F72" s="8">
        <v>1.9</v>
      </c>
      <c r="G72" s="12">
        <v>11</v>
      </c>
      <c r="H72" s="8">
        <v>0.72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336</v>
      </c>
      <c r="D6" s="8">
        <v>14.81</v>
      </c>
      <c r="E6" s="12">
        <v>42</v>
      </c>
      <c r="F6" s="8">
        <v>4.3</v>
      </c>
      <c r="G6" s="12">
        <v>293</v>
      </c>
      <c r="H6" s="8">
        <v>22.77</v>
      </c>
      <c r="I6" s="12">
        <v>1</v>
      </c>
    </row>
    <row r="7" spans="2:9" ht="15" customHeight="1" x14ac:dyDescent="0.15">
      <c r="B7" t="s">
        <v>64</v>
      </c>
      <c r="C7" s="12">
        <v>101</v>
      </c>
      <c r="D7" s="8">
        <v>4.45</v>
      </c>
      <c r="E7" s="12">
        <v>19</v>
      </c>
      <c r="F7" s="8">
        <v>1.94</v>
      </c>
      <c r="G7" s="12">
        <v>82</v>
      </c>
      <c r="H7" s="8">
        <v>6.37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32</v>
      </c>
      <c r="D9" s="8">
        <v>1.41</v>
      </c>
      <c r="E9" s="12">
        <v>0</v>
      </c>
      <c r="F9" s="8">
        <v>0</v>
      </c>
      <c r="G9" s="12">
        <v>32</v>
      </c>
      <c r="H9" s="8">
        <v>2.4900000000000002</v>
      </c>
      <c r="I9" s="12">
        <v>0</v>
      </c>
    </row>
    <row r="10" spans="2:9" ht="15" customHeight="1" x14ac:dyDescent="0.15">
      <c r="B10" t="s">
        <v>67</v>
      </c>
      <c r="C10" s="12">
        <v>34</v>
      </c>
      <c r="D10" s="8">
        <v>1.5</v>
      </c>
      <c r="E10" s="12">
        <v>11</v>
      </c>
      <c r="F10" s="8">
        <v>1.1299999999999999</v>
      </c>
      <c r="G10" s="12">
        <v>23</v>
      </c>
      <c r="H10" s="8">
        <v>1.79</v>
      </c>
      <c r="I10" s="12">
        <v>0</v>
      </c>
    </row>
    <row r="11" spans="2:9" ht="15" customHeight="1" x14ac:dyDescent="0.15">
      <c r="B11" t="s">
        <v>68</v>
      </c>
      <c r="C11" s="12">
        <v>460</v>
      </c>
      <c r="D11" s="8">
        <v>20.27</v>
      </c>
      <c r="E11" s="12">
        <v>177</v>
      </c>
      <c r="F11" s="8">
        <v>18.12</v>
      </c>
      <c r="G11" s="12">
        <v>283</v>
      </c>
      <c r="H11" s="8">
        <v>21.99</v>
      </c>
      <c r="I11" s="12">
        <v>0</v>
      </c>
    </row>
    <row r="12" spans="2:9" ht="15" customHeight="1" x14ac:dyDescent="0.15">
      <c r="B12" t="s">
        <v>69</v>
      </c>
      <c r="C12" s="12">
        <v>8</v>
      </c>
      <c r="D12" s="8">
        <v>0.35</v>
      </c>
      <c r="E12" s="12">
        <v>0</v>
      </c>
      <c r="F12" s="8">
        <v>0</v>
      </c>
      <c r="G12" s="12">
        <v>8</v>
      </c>
      <c r="H12" s="8">
        <v>0.62</v>
      </c>
      <c r="I12" s="12">
        <v>0</v>
      </c>
    </row>
    <row r="13" spans="2:9" ht="15" customHeight="1" x14ac:dyDescent="0.15">
      <c r="B13" t="s">
        <v>70</v>
      </c>
      <c r="C13" s="12">
        <v>307</v>
      </c>
      <c r="D13" s="8">
        <v>13.53</v>
      </c>
      <c r="E13" s="12">
        <v>113</v>
      </c>
      <c r="F13" s="8">
        <v>11.57</v>
      </c>
      <c r="G13" s="12">
        <v>193</v>
      </c>
      <c r="H13" s="8">
        <v>15</v>
      </c>
      <c r="I13" s="12">
        <v>1</v>
      </c>
    </row>
    <row r="14" spans="2:9" ht="15" customHeight="1" x14ac:dyDescent="0.15">
      <c r="B14" t="s">
        <v>71</v>
      </c>
      <c r="C14" s="12">
        <v>128</v>
      </c>
      <c r="D14" s="8">
        <v>5.64</v>
      </c>
      <c r="E14" s="12">
        <v>43</v>
      </c>
      <c r="F14" s="8">
        <v>4.4000000000000004</v>
      </c>
      <c r="G14" s="12">
        <v>85</v>
      </c>
      <c r="H14" s="8">
        <v>6.6</v>
      </c>
      <c r="I14" s="12">
        <v>0</v>
      </c>
    </row>
    <row r="15" spans="2:9" ht="15" customHeight="1" x14ac:dyDescent="0.15">
      <c r="B15" t="s">
        <v>72</v>
      </c>
      <c r="C15" s="12">
        <v>308</v>
      </c>
      <c r="D15" s="8">
        <v>13.57</v>
      </c>
      <c r="E15" s="12">
        <v>235</v>
      </c>
      <c r="F15" s="8">
        <v>24.05</v>
      </c>
      <c r="G15" s="12">
        <v>72</v>
      </c>
      <c r="H15" s="8">
        <v>5.59</v>
      </c>
      <c r="I15" s="12">
        <v>1</v>
      </c>
    </row>
    <row r="16" spans="2:9" ht="15" customHeight="1" x14ac:dyDescent="0.15">
      <c r="B16" t="s">
        <v>73</v>
      </c>
      <c r="C16" s="12">
        <v>284</v>
      </c>
      <c r="D16" s="8">
        <v>12.52</v>
      </c>
      <c r="E16" s="12">
        <v>188</v>
      </c>
      <c r="F16" s="8">
        <v>19.239999999999998</v>
      </c>
      <c r="G16" s="12">
        <v>96</v>
      </c>
      <c r="H16" s="8">
        <v>7.46</v>
      </c>
      <c r="I16" s="12">
        <v>0</v>
      </c>
    </row>
    <row r="17" spans="2:9" ht="15" customHeight="1" x14ac:dyDescent="0.15">
      <c r="B17" t="s">
        <v>74</v>
      </c>
      <c r="C17" s="12">
        <v>78</v>
      </c>
      <c r="D17" s="8">
        <v>3.44</v>
      </c>
      <c r="E17" s="12">
        <v>61</v>
      </c>
      <c r="F17" s="8">
        <v>6.24</v>
      </c>
      <c r="G17" s="12">
        <v>17</v>
      </c>
      <c r="H17" s="8">
        <v>1.32</v>
      </c>
      <c r="I17" s="12">
        <v>0</v>
      </c>
    </row>
    <row r="18" spans="2:9" ht="15" customHeight="1" x14ac:dyDescent="0.15">
      <c r="B18" t="s">
        <v>75</v>
      </c>
      <c r="C18" s="12">
        <v>127</v>
      </c>
      <c r="D18" s="8">
        <v>5.6</v>
      </c>
      <c r="E18" s="12">
        <v>79</v>
      </c>
      <c r="F18" s="8">
        <v>8.09</v>
      </c>
      <c r="G18" s="12">
        <v>46</v>
      </c>
      <c r="H18" s="8">
        <v>3.57</v>
      </c>
      <c r="I18" s="12">
        <v>2</v>
      </c>
    </row>
    <row r="19" spans="2:9" ht="15" customHeight="1" x14ac:dyDescent="0.15">
      <c r="B19" t="s">
        <v>76</v>
      </c>
      <c r="C19" s="12">
        <v>66</v>
      </c>
      <c r="D19" s="8">
        <v>2.91</v>
      </c>
      <c r="E19" s="12">
        <v>9</v>
      </c>
      <c r="F19" s="8">
        <v>0.92</v>
      </c>
      <c r="G19" s="12">
        <v>57</v>
      </c>
      <c r="H19" s="8">
        <v>4.43</v>
      </c>
      <c r="I19" s="12">
        <v>0</v>
      </c>
    </row>
    <row r="20" spans="2:9" ht="15" customHeight="1" x14ac:dyDescent="0.15">
      <c r="B20" s="9" t="s">
        <v>216</v>
      </c>
      <c r="C20" s="12">
        <f>SUM(LTBL_14107[総数／事業所数])</f>
        <v>2269</v>
      </c>
      <c r="E20" s="12">
        <f>SUBTOTAL(109,LTBL_14107[個人／事業所数])</f>
        <v>977</v>
      </c>
      <c r="G20" s="12">
        <f>SUBTOTAL(109,LTBL_14107[法人／事業所数])</f>
        <v>1287</v>
      </c>
      <c r="I20" s="12">
        <f>SUBTOTAL(109,LTBL_14107[法人以外の団体／事業所数])</f>
        <v>5</v>
      </c>
    </row>
    <row r="21" spans="2:9" ht="15" customHeight="1" x14ac:dyDescent="0.15">
      <c r="E21" s="11">
        <f>LTBL_14107[[#Totals],[個人／事業所数]]/LTBL_14107[[#Totals],[総数／事業所数]]</f>
        <v>0.43058616130453947</v>
      </c>
      <c r="G21" s="11">
        <f>LTBL_14107[[#Totals],[法人／事業所数]]/LTBL_14107[[#Totals],[総数／事業所数]]</f>
        <v>0.56721022476862049</v>
      </c>
      <c r="I21" s="11">
        <f>LTBL_14107[[#Totals],[法人以外の団体／事業所数]]/LTBL_14107[[#Totals],[総数／事業所数]]</f>
        <v>2.2036139268400176E-3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252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285</v>
      </c>
      <c r="D29" s="8">
        <v>12.56</v>
      </c>
      <c r="E29" s="12">
        <v>234</v>
      </c>
      <c r="F29" s="8">
        <v>23.95</v>
      </c>
      <c r="G29" s="12">
        <v>50</v>
      </c>
      <c r="H29" s="8">
        <v>3.89</v>
      </c>
      <c r="I29" s="12">
        <v>1</v>
      </c>
    </row>
    <row r="30" spans="2:9" ht="15" customHeight="1" x14ac:dyDescent="0.15">
      <c r="B30" t="s">
        <v>96</v>
      </c>
      <c r="C30" s="12">
        <v>259</v>
      </c>
      <c r="D30" s="8">
        <v>11.41</v>
      </c>
      <c r="E30" s="12">
        <v>110</v>
      </c>
      <c r="F30" s="8">
        <v>11.26</v>
      </c>
      <c r="G30" s="12">
        <v>148</v>
      </c>
      <c r="H30" s="8">
        <v>11.5</v>
      </c>
      <c r="I30" s="12">
        <v>1</v>
      </c>
    </row>
    <row r="31" spans="2:9" ht="15" customHeight="1" x14ac:dyDescent="0.15">
      <c r="B31" t="s">
        <v>100</v>
      </c>
      <c r="C31" s="12">
        <v>237</v>
      </c>
      <c r="D31" s="8">
        <v>10.45</v>
      </c>
      <c r="E31" s="12">
        <v>170</v>
      </c>
      <c r="F31" s="8">
        <v>17.399999999999999</v>
      </c>
      <c r="G31" s="12">
        <v>67</v>
      </c>
      <c r="H31" s="8">
        <v>5.21</v>
      </c>
      <c r="I31" s="12">
        <v>0</v>
      </c>
    </row>
    <row r="32" spans="2:9" ht="15" customHeight="1" x14ac:dyDescent="0.15">
      <c r="B32" t="s">
        <v>94</v>
      </c>
      <c r="C32" s="12">
        <v>132</v>
      </c>
      <c r="D32" s="8">
        <v>5.82</v>
      </c>
      <c r="E32" s="12">
        <v>64</v>
      </c>
      <c r="F32" s="8">
        <v>6.55</v>
      </c>
      <c r="G32" s="12">
        <v>68</v>
      </c>
      <c r="H32" s="8">
        <v>5.28</v>
      </c>
      <c r="I32" s="12">
        <v>0</v>
      </c>
    </row>
    <row r="33" spans="2:9" ht="15" customHeight="1" x14ac:dyDescent="0.15">
      <c r="B33" t="s">
        <v>86</v>
      </c>
      <c r="C33" s="12">
        <v>120</v>
      </c>
      <c r="D33" s="8">
        <v>5.29</v>
      </c>
      <c r="E33" s="12">
        <v>18</v>
      </c>
      <c r="F33" s="8">
        <v>1.84</v>
      </c>
      <c r="G33" s="12">
        <v>102</v>
      </c>
      <c r="H33" s="8">
        <v>7.93</v>
      </c>
      <c r="I33" s="12">
        <v>0</v>
      </c>
    </row>
    <row r="34" spans="2:9" ht="15" customHeight="1" x14ac:dyDescent="0.15">
      <c r="B34" t="s">
        <v>92</v>
      </c>
      <c r="C34" s="12">
        <v>120</v>
      </c>
      <c r="D34" s="8">
        <v>5.29</v>
      </c>
      <c r="E34" s="12">
        <v>57</v>
      </c>
      <c r="F34" s="8">
        <v>5.83</v>
      </c>
      <c r="G34" s="12">
        <v>63</v>
      </c>
      <c r="H34" s="8">
        <v>4.9000000000000004</v>
      </c>
      <c r="I34" s="12">
        <v>0</v>
      </c>
    </row>
    <row r="35" spans="2:9" ht="15" customHeight="1" x14ac:dyDescent="0.15">
      <c r="B35" t="s">
        <v>85</v>
      </c>
      <c r="C35" s="12">
        <v>117</v>
      </c>
      <c r="D35" s="8">
        <v>5.16</v>
      </c>
      <c r="E35" s="12">
        <v>15</v>
      </c>
      <c r="F35" s="8">
        <v>1.54</v>
      </c>
      <c r="G35" s="12">
        <v>101</v>
      </c>
      <c r="H35" s="8">
        <v>7.85</v>
      </c>
      <c r="I35" s="12">
        <v>1</v>
      </c>
    </row>
    <row r="36" spans="2:9" ht="15" customHeight="1" x14ac:dyDescent="0.15">
      <c r="B36" t="s">
        <v>87</v>
      </c>
      <c r="C36" s="12">
        <v>99</v>
      </c>
      <c r="D36" s="8">
        <v>4.3600000000000003</v>
      </c>
      <c r="E36" s="12">
        <v>9</v>
      </c>
      <c r="F36" s="8">
        <v>0.92</v>
      </c>
      <c r="G36" s="12">
        <v>90</v>
      </c>
      <c r="H36" s="8">
        <v>6.99</v>
      </c>
      <c r="I36" s="12">
        <v>0</v>
      </c>
    </row>
    <row r="37" spans="2:9" ht="15" customHeight="1" x14ac:dyDescent="0.15">
      <c r="B37" t="s">
        <v>103</v>
      </c>
      <c r="C37" s="12">
        <v>91</v>
      </c>
      <c r="D37" s="8">
        <v>4.01</v>
      </c>
      <c r="E37" s="12">
        <v>77</v>
      </c>
      <c r="F37" s="8">
        <v>7.88</v>
      </c>
      <c r="G37" s="12">
        <v>14</v>
      </c>
      <c r="H37" s="8">
        <v>1.0900000000000001</v>
      </c>
      <c r="I37" s="12">
        <v>0</v>
      </c>
    </row>
    <row r="38" spans="2:9" ht="15" customHeight="1" x14ac:dyDescent="0.15">
      <c r="B38" t="s">
        <v>102</v>
      </c>
      <c r="C38" s="12">
        <v>78</v>
      </c>
      <c r="D38" s="8">
        <v>3.44</v>
      </c>
      <c r="E38" s="12">
        <v>61</v>
      </c>
      <c r="F38" s="8">
        <v>6.24</v>
      </c>
      <c r="G38" s="12">
        <v>17</v>
      </c>
      <c r="H38" s="8">
        <v>1.32</v>
      </c>
      <c r="I38" s="12">
        <v>0</v>
      </c>
    </row>
    <row r="39" spans="2:9" ht="15" customHeight="1" x14ac:dyDescent="0.15">
      <c r="B39" t="s">
        <v>98</v>
      </c>
      <c r="C39" s="12">
        <v>64</v>
      </c>
      <c r="D39" s="8">
        <v>2.82</v>
      </c>
      <c r="E39" s="12">
        <v>15</v>
      </c>
      <c r="F39" s="8">
        <v>1.54</v>
      </c>
      <c r="G39" s="12">
        <v>49</v>
      </c>
      <c r="H39" s="8">
        <v>3.81</v>
      </c>
      <c r="I39" s="12">
        <v>0</v>
      </c>
    </row>
    <row r="40" spans="2:9" ht="15" customHeight="1" x14ac:dyDescent="0.15">
      <c r="B40" t="s">
        <v>97</v>
      </c>
      <c r="C40" s="12">
        <v>55</v>
      </c>
      <c r="D40" s="8">
        <v>2.42</v>
      </c>
      <c r="E40" s="12">
        <v>28</v>
      </c>
      <c r="F40" s="8">
        <v>2.87</v>
      </c>
      <c r="G40" s="12">
        <v>27</v>
      </c>
      <c r="H40" s="8">
        <v>2.1</v>
      </c>
      <c r="I40" s="12">
        <v>0</v>
      </c>
    </row>
    <row r="41" spans="2:9" ht="15" customHeight="1" x14ac:dyDescent="0.15">
      <c r="B41" t="s">
        <v>91</v>
      </c>
      <c r="C41" s="12">
        <v>43</v>
      </c>
      <c r="D41" s="8">
        <v>1.9</v>
      </c>
      <c r="E41" s="12">
        <v>22</v>
      </c>
      <c r="F41" s="8">
        <v>2.25</v>
      </c>
      <c r="G41" s="12">
        <v>21</v>
      </c>
      <c r="H41" s="8">
        <v>1.63</v>
      </c>
      <c r="I41" s="12">
        <v>0</v>
      </c>
    </row>
    <row r="42" spans="2:9" ht="15" customHeight="1" x14ac:dyDescent="0.15">
      <c r="B42" t="s">
        <v>93</v>
      </c>
      <c r="C42" s="12">
        <v>42</v>
      </c>
      <c r="D42" s="8">
        <v>1.85</v>
      </c>
      <c r="E42" s="12">
        <v>20</v>
      </c>
      <c r="F42" s="8">
        <v>2.0499999999999998</v>
      </c>
      <c r="G42" s="12">
        <v>22</v>
      </c>
      <c r="H42" s="8">
        <v>1.71</v>
      </c>
      <c r="I42" s="12">
        <v>0</v>
      </c>
    </row>
    <row r="43" spans="2:9" ht="15" customHeight="1" x14ac:dyDescent="0.15">
      <c r="B43" t="s">
        <v>95</v>
      </c>
      <c r="C43" s="12">
        <v>42</v>
      </c>
      <c r="D43" s="8">
        <v>1.85</v>
      </c>
      <c r="E43" s="12">
        <v>3</v>
      </c>
      <c r="F43" s="8">
        <v>0.31</v>
      </c>
      <c r="G43" s="12">
        <v>39</v>
      </c>
      <c r="H43" s="8">
        <v>3.03</v>
      </c>
      <c r="I43" s="12">
        <v>0</v>
      </c>
    </row>
    <row r="44" spans="2:9" ht="15" customHeight="1" x14ac:dyDescent="0.15">
      <c r="B44" t="s">
        <v>108</v>
      </c>
      <c r="C44" s="12">
        <v>36</v>
      </c>
      <c r="D44" s="8">
        <v>1.59</v>
      </c>
      <c r="E44" s="12">
        <v>2</v>
      </c>
      <c r="F44" s="8">
        <v>0.2</v>
      </c>
      <c r="G44" s="12">
        <v>32</v>
      </c>
      <c r="H44" s="8">
        <v>2.4900000000000002</v>
      </c>
      <c r="I44" s="12">
        <v>2</v>
      </c>
    </row>
    <row r="45" spans="2:9" ht="15" customHeight="1" x14ac:dyDescent="0.15">
      <c r="B45" t="s">
        <v>90</v>
      </c>
      <c r="C45" s="12">
        <v>35</v>
      </c>
      <c r="D45" s="8">
        <v>1.54</v>
      </c>
      <c r="E45" s="12">
        <v>2</v>
      </c>
      <c r="F45" s="8">
        <v>0.2</v>
      </c>
      <c r="G45" s="12">
        <v>33</v>
      </c>
      <c r="H45" s="8">
        <v>2.56</v>
      </c>
      <c r="I45" s="12">
        <v>0</v>
      </c>
    </row>
    <row r="46" spans="2:9" ht="15" customHeight="1" x14ac:dyDescent="0.15">
      <c r="B46" t="s">
        <v>101</v>
      </c>
      <c r="C46" s="12">
        <v>30</v>
      </c>
      <c r="D46" s="8">
        <v>1.32</v>
      </c>
      <c r="E46" s="12">
        <v>12</v>
      </c>
      <c r="F46" s="8">
        <v>1.23</v>
      </c>
      <c r="G46" s="12">
        <v>18</v>
      </c>
      <c r="H46" s="8">
        <v>1.4</v>
      </c>
      <c r="I46" s="12">
        <v>0</v>
      </c>
    </row>
    <row r="47" spans="2:9" ht="15" customHeight="1" x14ac:dyDescent="0.15">
      <c r="B47" t="s">
        <v>104</v>
      </c>
      <c r="C47" s="12">
        <v>27</v>
      </c>
      <c r="D47" s="8">
        <v>1.19</v>
      </c>
      <c r="E47" s="12">
        <v>2</v>
      </c>
      <c r="F47" s="8">
        <v>0.2</v>
      </c>
      <c r="G47" s="12">
        <v>25</v>
      </c>
      <c r="H47" s="8">
        <v>1.94</v>
      </c>
      <c r="I47" s="12">
        <v>0</v>
      </c>
    </row>
    <row r="48" spans="2:9" ht="15" customHeight="1" x14ac:dyDescent="0.15">
      <c r="B48" t="s">
        <v>109</v>
      </c>
      <c r="C48" s="12">
        <v>24</v>
      </c>
      <c r="D48" s="8">
        <v>1.06</v>
      </c>
      <c r="E48" s="12">
        <v>0</v>
      </c>
      <c r="F48" s="8">
        <v>0</v>
      </c>
      <c r="G48" s="12">
        <v>24</v>
      </c>
      <c r="H48" s="8">
        <v>1.86</v>
      </c>
      <c r="I48" s="12">
        <v>0</v>
      </c>
    </row>
    <row r="49" spans="2:9" ht="15" customHeight="1" x14ac:dyDescent="0.15">
      <c r="B49" t="s">
        <v>105</v>
      </c>
      <c r="C49" s="12">
        <v>24</v>
      </c>
      <c r="D49" s="8">
        <v>1.06</v>
      </c>
      <c r="E49" s="12">
        <v>5</v>
      </c>
      <c r="F49" s="8">
        <v>0.51</v>
      </c>
      <c r="G49" s="12">
        <v>19</v>
      </c>
      <c r="H49" s="8">
        <v>1.48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135</v>
      </c>
      <c r="D53" s="8">
        <v>5.95</v>
      </c>
      <c r="E53" s="12">
        <v>85</v>
      </c>
      <c r="F53" s="8">
        <v>8.6999999999999993</v>
      </c>
      <c r="G53" s="12">
        <v>50</v>
      </c>
      <c r="H53" s="8">
        <v>3.89</v>
      </c>
      <c r="I53" s="12">
        <v>0</v>
      </c>
    </row>
    <row r="54" spans="2:9" ht="15" customHeight="1" x14ac:dyDescent="0.15">
      <c r="B54" t="s">
        <v>155</v>
      </c>
      <c r="C54" s="12">
        <v>107</v>
      </c>
      <c r="D54" s="8">
        <v>4.72</v>
      </c>
      <c r="E54" s="12">
        <v>84</v>
      </c>
      <c r="F54" s="8">
        <v>8.6</v>
      </c>
      <c r="G54" s="12">
        <v>23</v>
      </c>
      <c r="H54" s="8">
        <v>1.79</v>
      </c>
      <c r="I54" s="12">
        <v>0</v>
      </c>
    </row>
    <row r="55" spans="2:9" ht="15" customHeight="1" x14ac:dyDescent="0.15">
      <c r="B55" t="s">
        <v>151</v>
      </c>
      <c r="C55" s="12">
        <v>92</v>
      </c>
      <c r="D55" s="8">
        <v>4.05</v>
      </c>
      <c r="E55" s="12">
        <v>83</v>
      </c>
      <c r="F55" s="8">
        <v>8.5</v>
      </c>
      <c r="G55" s="12">
        <v>9</v>
      </c>
      <c r="H55" s="8">
        <v>0.7</v>
      </c>
      <c r="I55" s="12">
        <v>0</v>
      </c>
    </row>
    <row r="56" spans="2:9" ht="15" customHeight="1" x14ac:dyDescent="0.15">
      <c r="B56" t="s">
        <v>149</v>
      </c>
      <c r="C56" s="12">
        <v>77</v>
      </c>
      <c r="D56" s="8">
        <v>3.39</v>
      </c>
      <c r="E56" s="12">
        <v>1</v>
      </c>
      <c r="F56" s="8">
        <v>0.1</v>
      </c>
      <c r="G56" s="12">
        <v>75</v>
      </c>
      <c r="H56" s="8">
        <v>5.83</v>
      </c>
      <c r="I56" s="12">
        <v>1</v>
      </c>
    </row>
    <row r="57" spans="2:9" ht="15" customHeight="1" x14ac:dyDescent="0.15">
      <c r="B57" t="s">
        <v>150</v>
      </c>
      <c r="C57" s="12">
        <v>63</v>
      </c>
      <c r="D57" s="8">
        <v>2.78</v>
      </c>
      <c r="E57" s="12">
        <v>44</v>
      </c>
      <c r="F57" s="8">
        <v>4.5</v>
      </c>
      <c r="G57" s="12">
        <v>19</v>
      </c>
      <c r="H57" s="8">
        <v>1.48</v>
      </c>
      <c r="I57" s="12">
        <v>0</v>
      </c>
    </row>
    <row r="58" spans="2:9" ht="15" customHeight="1" x14ac:dyDescent="0.15">
      <c r="B58" t="s">
        <v>154</v>
      </c>
      <c r="C58" s="12">
        <v>63</v>
      </c>
      <c r="D58" s="8">
        <v>2.78</v>
      </c>
      <c r="E58" s="12">
        <v>51</v>
      </c>
      <c r="F58" s="8">
        <v>5.22</v>
      </c>
      <c r="G58" s="12">
        <v>12</v>
      </c>
      <c r="H58" s="8">
        <v>0.93</v>
      </c>
      <c r="I58" s="12">
        <v>0</v>
      </c>
    </row>
    <row r="59" spans="2:9" ht="15" customHeight="1" x14ac:dyDescent="0.15">
      <c r="B59" t="s">
        <v>156</v>
      </c>
      <c r="C59" s="12">
        <v>61</v>
      </c>
      <c r="D59" s="8">
        <v>2.69</v>
      </c>
      <c r="E59" s="12">
        <v>50</v>
      </c>
      <c r="F59" s="8">
        <v>5.12</v>
      </c>
      <c r="G59" s="12">
        <v>11</v>
      </c>
      <c r="H59" s="8">
        <v>0.85</v>
      </c>
      <c r="I59" s="12">
        <v>0</v>
      </c>
    </row>
    <row r="60" spans="2:9" ht="15" customHeight="1" x14ac:dyDescent="0.15">
      <c r="B60" t="s">
        <v>157</v>
      </c>
      <c r="C60" s="12">
        <v>56</v>
      </c>
      <c r="D60" s="8">
        <v>2.4700000000000002</v>
      </c>
      <c r="E60" s="12">
        <v>48</v>
      </c>
      <c r="F60" s="8">
        <v>4.91</v>
      </c>
      <c r="G60" s="12">
        <v>8</v>
      </c>
      <c r="H60" s="8">
        <v>0.62</v>
      </c>
      <c r="I60" s="12">
        <v>0</v>
      </c>
    </row>
    <row r="61" spans="2:9" ht="15" customHeight="1" x14ac:dyDescent="0.15">
      <c r="B61" t="s">
        <v>153</v>
      </c>
      <c r="C61" s="12">
        <v>55</v>
      </c>
      <c r="D61" s="8">
        <v>2.42</v>
      </c>
      <c r="E61" s="12">
        <v>30</v>
      </c>
      <c r="F61" s="8">
        <v>3.07</v>
      </c>
      <c r="G61" s="12">
        <v>25</v>
      </c>
      <c r="H61" s="8">
        <v>1.94</v>
      </c>
      <c r="I61" s="12">
        <v>0</v>
      </c>
    </row>
    <row r="62" spans="2:9" ht="15" customHeight="1" x14ac:dyDescent="0.15">
      <c r="B62" t="s">
        <v>152</v>
      </c>
      <c r="C62" s="12">
        <v>52</v>
      </c>
      <c r="D62" s="8">
        <v>2.29</v>
      </c>
      <c r="E62" s="12">
        <v>48</v>
      </c>
      <c r="F62" s="8">
        <v>4.91</v>
      </c>
      <c r="G62" s="12">
        <v>4</v>
      </c>
      <c r="H62" s="8">
        <v>0.31</v>
      </c>
      <c r="I62" s="12">
        <v>0</v>
      </c>
    </row>
    <row r="63" spans="2:9" ht="15" customHeight="1" x14ac:dyDescent="0.15">
      <c r="B63" t="s">
        <v>145</v>
      </c>
      <c r="C63" s="12">
        <v>46</v>
      </c>
      <c r="D63" s="8">
        <v>2.0299999999999998</v>
      </c>
      <c r="E63" s="12">
        <v>30</v>
      </c>
      <c r="F63" s="8">
        <v>3.07</v>
      </c>
      <c r="G63" s="12">
        <v>16</v>
      </c>
      <c r="H63" s="8">
        <v>1.24</v>
      </c>
      <c r="I63" s="12">
        <v>0</v>
      </c>
    </row>
    <row r="64" spans="2:9" ht="15" customHeight="1" x14ac:dyDescent="0.15">
      <c r="B64" t="s">
        <v>141</v>
      </c>
      <c r="C64" s="12">
        <v>43</v>
      </c>
      <c r="D64" s="8">
        <v>1.9</v>
      </c>
      <c r="E64" s="12">
        <v>4</v>
      </c>
      <c r="F64" s="8">
        <v>0.41</v>
      </c>
      <c r="G64" s="12">
        <v>39</v>
      </c>
      <c r="H64" s="8">
        <v>3.03</v>
      </c>
      <c r="I64" s="12">
        <v>0</v>
      </c>
    </row>
    <row r="65" spans="2:9" ht="15" customHeight="1" x14ac:dyDescent="0.15">
      <c r="B65" t="s">
        <v>158</v>
      </c>
      <c r="C65" s="12">
        <v>39</v>
      </c>
      <c r="D65" s="8">
        <v>1.72</v>
      </c>
      <c r="E65" s="12">
        <v>2</v>
      </c>
      <c r="F65" s="8">
        <v>0.2</v>
      </c>
      <c r="G65" s="12">
        <v>37</v>
      </c>
      <c r="H65" s="8">
        <v>2.87</v>
      </c>
      <c r="I65" s="12">
        <v>0</v>
      </c>
    </row>
    <row r="66" spans="2:9" ht="15" customHeight="1" x14ac:dyDescent="0.15">
      <c r="B66" t="s">
        <v>143</v>
      </c>
      <c r="C66" s="12">
        <v>38</v>
      </c>
      <c r="D66" s="8">
        <v>1.67</v>
      </c>
      <c r="E66" s="12">
        <v>21</v>
      </c>
      <c r="F66" s="8">
        <v>2.15</v>
      </c>
      <c r="G66" s="12">
        <v>17</v>
      </c>
      <c r="H66" s="8">
        <v>1.32</v>
      </c>
      <c r="I66" s="12">
        <v>0</v>
      </c>
    </row>
    <row r="67" spans="2:9" ht="15" customHeight="1" x14ac:dyDescent="0.15">
      <c r="B67" t="s">
        <v>161</v>
      </c>
      <c r="C67" s="12">
        <v>37</v>
      </c>
      <c r="D67" s="8">
        <v>1.63</v>
      </c>
      <c r="E67" s="12">
        <v>5</v>
      </c>
      <c r="F67" s="8">
        <v>0.51</v>
      </c>
      <c r="G67" s="12">
        <v>32</v>
      </c>
      <c r="H67" s="8">
        <v>2.4900000000000002</v>
      </c>
      <c r="I67" s="12">
        <v>0</v>
      </c>
    </row>
    <row r="68" spans="2:9" ht="15" customHeight="1" x14ac:dyDescent="0.15">
      <c r="B68" t="s">
        <v>140</v>
      </c>
      <c r="C68" s="12">
        <v>35</v>
      </c>
      <c r="D68" s="8">
        <v>1.54</v>
      </c>
      <c r="E68" s="12">
        <v>5</v>
      </c>
      <c r="F68" s="8">
        <v>0.51</v>
      </c>
      <c r="G68" s="12">
        <v>30</v>
      </c>
      <c r="H68" s="8">
        <v>2.33</v>
      </c>
      <c r="I68" s="12">
        <v>0</v>
      </c>
    </row>
    <row r="69" spans="2:9" ht="15" customHeight="1" x14ac:dyDescent="0.15">
      <c r="B69" t="s">
        <v>146</v>
      </c>
      <c r="C69" s="12">
        <v>34</v>
      </c>
      <c r="D69" s="8">
        <v>1.5</v>
      </c>
      <c r="E69" s="12">
        <v>3</v>
      </c>
      <c r="F69" s="8">
        <v>0.31</v>
      </c>
      <c r="G69" s="12">
        <v>31</v>
      </c>
      <c r="H69" s="8">
        <v>2.41</v>
      </c>
      <c r="I69" s="12">
        <v>0</v>
      </c>
    </row>
    <row r="70" spans="2:9" ht="15" customHeight="1" x14ac:dyDescent="0.15">
      <c r="B70" t="s">
        <v>166</v>
      </c>
      <c r="C70" s="12">
        <v>31</v>
      </c>
      <c r="D70" s="8">
        <v>1.37</v>
      </c>
      <c r="E70" s="12">
        <v>19</v>
      </c>
      <c r="F70" s="8">
        <v>1.94</v>
      </c>
      <c r="G70" s="12">
        <v>12</v>
      </c>
      <c r="H70" s="8">
        <v>0.93</v>
      </c>
      <c r="I70" s="12">
        <v>0</v>
      </c>
    </row>
    <row r="71" spans="2:9" ht="15" customHeight="1" x14ac:dyDescent="0.15">
      <c r="B71" t="s">
        <v>163</v>
      </c>
      <c r="C71" s="12">
        <v>31</v>
      </c>
      <c r="D71" s="8">
        <v>1.37</v>
      </c>
      <c r="E71" s="12">
        <v>28</v>
      </c>
      <c r="F71" s="8">
        <v>2.87</v>
      </c>
      <c r="G71" s="12">
        <v>3</v>
      </c>
      <c r="H71" s="8">
        <v>0.23</v>
      </c>
      <c r="I71" s="12">
        <v>0</v>
      </c>
    </row>
    <row r="72" spans="2:9" ht="15" customHeight="1" x14ac:dyDescent="0.15">
      <c r="B72" t="s">
        <v>159</v>
      </c>
      <c r="C72" s="12">
        <v>29</v>
      </c>
      <c r="D72" s="8">
        <v>1.28</v>
      </c>
      <c r="E72" s="12">
        <v>9</v>
      </c>
      <c r="F72" s="8">
        <v>0.92</v>
      </c>
      <c r="G72" s="12">
        <v>20</v>
      </c>
      <c r="H72" s="8">
        <v>1.55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287</v>
      </c>
      <c r="D6" s="8">
        <v>11.16</v>
      </c>
      <c r="E6" s="12">
        <v>45</v>
      </c>
      <c r="F6" s="8">
        <v>4.08</v>
      </c>
      <c r="G6" s="12">
        <v>241</v>
      </c>
      <c r="H6" s="8">
        <v>16.46</v>
      </c>
      <c r="I6" s="12">
        <v>1</v>
      </c>
    </row>
    <row r="7" spans="2:9" ht="15" customHeight="1" x14ac:dyDescent="0.15">
      <c r="B7" t="s">
        <v>64</v>
      </c>
      <c r="C7" s="12">
        <v>169</v>
      </c>
      <c r="D7" s="8">
        <v>6.57</v>
      </c>
      <c r="E7" s="12">
        <v>9</v>
      </c>
      <c r="F7" s="8">
        <v>0.82</v>
      </c>
      <c r="G7" s="12">
        <v>160</v>
      </c>
      <c r="H7" s="8">
        <v>10.93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38</v>
      </c>
      <c r="D9" s="8">
        <v>1.48</v>
      </c>
      <c r="E9" s="12">
        <v>1</v>
      </c>
      <c r="F9" s="8">
        <v>0.09</v>
      </c>
      <c r="G9" s="12">
        <v>37</v>
      </c>
      <c r="H9" s="8">
        <v>2.5299999999999998</v>
      </c>
      <c r="I9" s="12">
        <v>0</v>
      </c>
    </row>
    <row r="10" spans="2:9" ht="15" customHeight="1" x14ac:dyDescent="0.15">
      <c r="B10" t="s">
        <v>67</v>
      </c>
      <c r="C10" s="12">
        <v>38</v>
      </c>
      <c r="D10" s="8">
        <v>1.48</v>
      </c>
      <c r="E10" s="12">
        <v>9</v>
      </c>
      <c r="F10" s="8">
        <v>0.82</v>
      </c>
      <c r="G10" s="12">
        <v>29</v>
      </c>
      <c r="H10" s="8">
        <v>1.98</v>
      </c>
      <c r="I10" s="12">
        <v>0</v>
      </c>
    </row>
    <row r="11" spans="2:9" ht="15" customHeight="1" x14ac:dyDescent="0.15">
      <c r="B11" t="s">
        <v>68</v>
      </c>
      <c r="C11" s="12">
        <v>608</v>
      </c>
      <c r="D11" s="8">
        <v>23.65</v>
      </c>
      <c r="E11" s="12">
        <v>186</v>
      </c>
      <c r="F11" s="8">
        <v>16.850000000000001</v>
      </c>
      <c r="G11" s="12">
        <v>421</v>
      </c>
      <c r="H11" s="8">
        <v>28.76</v>
      </c>
      <c r="I11" s="12">
        <v>1</v>
      </c>
    </row>
    <row r="12" spans="2:9" ht="15" customHeight="1" x14ac:dyDescent="0.15">
      <c r="B12" t="s">
        <v>69</v>
      </c>
      <c r="C12" s="12">
        <v>16</v>
      </c>
      <c r="D12" s="8">
        <v>0.62</v>
      </c>
      <c r="E12" s="12">
        <v>1</v>
      </c>
      <c r="F12" s="8">
        <v>0.09</v>
      </c>
      <c r="G12" s="12">
        <v>15</v>
      </c>
      <c r="H12" s="8">
        <v>1.02</v>
      </c>
      <c r="I12" s="12">
        <v>0</v>
      </c>
    </row>
    <row r="13" spans="2:9" ht="15" customHeight="1" x14ac:dyDescent="0.15">
      <c r="B13" t="s">
        <v>70</v>
      </c>
      <c r="C13" s="12">
        <v>386</v>
      </c>
      <c r="D13" s="8">
        <v>15.01</v>
      </c>
      <c r="E13" s="12">
        <v>220</v>
      </c>
      <c r="F13" s="8">
        <v>19.93</v>
      </c>
      <c r="G13" s="12">
        <v>165</v>
      </c>
      <c r="H13" s="8">
        <v>11.27</v>
      </c>
      <c r="I13" s="12">
        <v>1</v>
      </c>
    </row>
    <row r="14" spans="2:9" ht="15" customHeight="1" x14ac:dyDescent="0.15">
      <c r="B14" t="s">
        <v>71</v>
      </c>
      <c r="C14" s="12">
        <v>140</v>
      </c>
      <c r="D14" s="8">
        <v>5.45</v>
      </c>
      <c r="E14" s="12">
        <v>54</v>
      </c>
      <c r="F14" s="8">
        <v>4.8899999999999997</v>
      </c>
      <c r="G14" s="12">
        <v>86</v>
      </c>
      <c r="H14" s="8">
        <v>5.87</v>
      </c>
      <c r="I14" s="12">
        <v>0</v>
      </c>
    </row>
    <row r="15" spans="2:9" ht="15" customHeight="1" x14ac:dyDescent="0.15">
      <c r="B15" t="s">
        <v>72</v>
      </c>
      <c r="C15" s="12">
        <v>219</v>
      </c>
      <c r="D15" s="8">
        <v>8.52</v>
      </c>
      <c r="E15" s="12">
        <v>161</v>
      </c>
      <c r="F15" s="8">
        <v>14.58</v>
      </c>
      <c r="G15" s="12">
        <v>58</v>
      </c>
      <c r="H15" s="8">
        <v>3.96</v>
      </c>
      <c r="I15" s="12">
        <v>0</v>
      </c>
    </row>
    <row r="16" spans="2:9" ht="15" customHeight="1" x14ac:dyDescent="0.15">
      <c r="B16" t="s">
        <v>73</v>
      </c>
      <c r="C16" s="12">
        <v>345</v>
      </c>
      <c r="D16" s="8">
        <v>13.42</v>
      </c>
      <c r="E16" s="12">
        <v>231</v>
      </c>
      <c r="F16" s="8">
        <v>20.92</v>
      </c>
      <c r="G16" s="12">
        <v>114</v>
      </c>
      <c r="H16" s="8">
        <v>7.79</v>
      </c>
      <c r="I16" s="12">
        <v>0</v>
      </c>
    </row>
    <row r="17" spans="2:9" ht="15" customHeight="1" x14ac:dyDescent="0.15">
      <c r="B17" t="s">
        <v>74</v>
      </c>
      <c r="C17" s="12">
        <v>103</v>
      </c>
      <c r="D17" s="8">
        <v>4.01</v>
      </c>
      <c r="E17" s="12">
        <v>72</v>
      </c>
      <c r="F17" s="8">
        <v>6.52</v>
      </c>
      <c r="G17" s="12">
        <v>31</v>
      </c>
      <c r="H17" s="8">
        <v>2.12</v>
      </c>
      <c r="I17" s="12">
        <v>0</v>
      </c>
    </row>
    <row r="18" spans="2:9" ht="15" customHeight="1" x14ac:dyDescent="0.15">
      <c r="B18" t="s">
        <v>75</v>
      </c>
      <c r="C18" s="12">
        <v>149</v>
      </c>
      <c r="D18" s="8">
        <v>5.8</v>
      </c>
      <c r="E18" s="12">
        <v>106</v>
      </c>
      <c r="F18" s="8">
        <v>9.6</v>
      </c>
      <c r="G18" s="12">
        <v>43</v>
      </c>
      <c r="H18" s="8">
        <v>2.94</v>
      </c>
      <c r="I18" s="12">
        <v>0</v>
      </c>
    </row>
    <row r="19" spans="2:9" ht="15" customHeight="1" x14ac:dyDescent="0.15">
      <c r="B19" t="s">
        <v>76</v>
      </c>
      <c r="C19" s="12">
        <v>73</v>
      </c>
      <c r="D19" s="8">
        <v>2.84</v>
      </c>
      <c r="E19" s="12">
        <v>9</v>
      </c>
      <c r="F19" s="8">
        <v>0.82</v>
      </c>
      <c r="G19" s="12">
        <v>64</v>
      </c>
      <c r="H19" s="8">
        <v>4.37</v>
      </c>
      <c r="I19" s="12">
        <v>0</v>
      </c>
    </row>
    <row r="20" spans="2:9" ht="15" customHeight="1" x14ac:dyDescent="0.15">
      <c r="B20" s="9" t="s">
        <v>216</v>
      </c>
      <c r="C20" s="12">
        <f>SUM(LTBL_14108[総数／事業所数])</f>
        <v>2571</v>
      </c>
      <c r="E20" s="12">
        <f>SUBTOTAL(109,LTBL_14108[個人／事業所数])</f>
        <v>1104</v>
      </c>
      <c r="G20" s="12">
        <f>SUBTOTAL(109,LTBL_14108[法人／事業所数])</f>
        <v>1464</v>
      </c>
      <c r="I20" s="12">
        <f>SUBTOTAL(109,LTBL_14108[法人以外の団体／事業所数])</f>
        <v>3</v>
      </c>
    </row>
    <row r="21" spans="2:9" ht="15" customHeight="1" x14ac:dyDescent="0.15">
      <c r="E21" s="11">
        <f>LTBL_14108[[#Totals],[個人／事業所数]]/LTBL_14108[[#Totals],[総数／事業所数]]</f>
        <v>0.42940490081680283</v>
      </c>
      <c r="G21" s="11">
        <f>LTBL_14108[[#Totals],[法人／事業所数]]/LTBL_14108[[#Totals],[総数／事業所数]]</f>
        <v>0.56942823803967324</v>
      </c>
      <c r="I21" s="11">
        <f>LTBL_14108[[#Totals],[法人以外の団体／事業所数]]/LTBL_14108[[#Totals],[総数／事業所数]]</f>
        <v>1.1668611435239206E-3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8</v>
      </c>
      <c r="D24" t="s">
        <v>217</v>
      </c>
      <c r="E24">
        <v>0</v>
      </c>
      <c r="F24" t="s">
        <v>219</v>
      </c>
      <c r="G24">
        <v>8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333</v>
      </c>
      <c r="D29" s="8">
        <v>12.95</v>
      </c>
      <c r="E29" s="12">
        <v>214</v>
      </c>
      <c r="F29" s="8">
        <v>19.38</v>
      </c>
      <c r="G29" s="12">
        <v>118</v>
      </c>
      <c r="H29" s="8">
        <v>8.06</v>
      </c>
      <c r="I29" s="12">
        <v>1</v>
      </c>
    </row>
    <row r="30" spans="2:9" ht="15" customHeight="1" x14ac:dyDescent="0.15">
      <c r="B30" t="s">
        <v>100</v>
      </c>
      <c r="C30" s="12">
        <v>287</v>
      </c>
      <c r="D30" s="8">
        <v>11.16</v>
      </c>
      <c r="E30" s="12">
        <v>206</v>
      </c>
      <c r="F30" s="8">
        <v>18.66</v>
      </c>
      <c r="G30" s="12">
        <v>81</v>
      </c>
      <c r="H30" s="8">
        <v>5.53</v>
      </c>
      <c r="I30" s="12">
        <v>0</v>
      </c>
    </row>
    <row r="31" spans="2:9" ht="15" customHeight="1" x14ac:dyDescent="0.15">
      <c r="B31" t="s">
        <v>99</v>
      </c>
      <c r="C31" s="12">
        <v>205</v>
      </c>
      <c r="D31" s="8">
        <v>7.97</v>
      </c>
      <c r="E31" s="12">
        <v>160</v>
      </c>
      <c r="F31" s="8">
        <v>14.49</v>
      </c>
      <c r="G31" s="12">
        <v>45</v>
      </c>
      <c r="H31" s="8">
        <v>3.07</v>
      </c>
      <c r="I31" s="12">
        <v>0</v>
      </c>
    </row>
    <row r="32" spans="2:9" ht="15" customHeight="1" x14ac:dyDescent="0.15">
      <c r="B32" t="s">
        <v>94</v>
      </c>
      <c r="C32" s="12">
        <v>164</v>
      </c>
      <c r="D32" s="8">
        <v>6.38</v>
      </c>
      <c r="E32" s="12">
        <v>66</v>
      </c>
      <c r="F32" s="8">
        <v>5.98</v>
      </c>
      <c r="G32" s="12">
        <v>97</v>
      </c>
      <c r="H32" s="8">
        <v>6.63</v>
      </c>
      <c r="I32" s="12">
        <v>1</v>
      </c>
    </row>
    <row r="33" spans="2:9" ht="15" customHeight="1" x14ac:dyDescent="0.15">
      <c r="B33" t="s">
        <v>85</v>
      </c>
      <c r="C33" s="12">
        <v>131</v>
      </c>
      <c r="D33" s="8">
        <v>5.0999999999999996</v>
      </c>
      <c r="E33" s="12">
        <v>17</v>
      </c>
      <c r="F33" s="8">
        <v>1.54</v>
      </c>
      <c r="G33" s="12">
        <v>113</v>
      </c>
      <c r="H33" s="8">
        <v>7.72</v>
      </c>
      <c r="I33" s="12">
        <v>1</v>
      </c>
    </row>
    <row r="34" spans="2:9" ht="15" customHeight="1" x14ac:dyDescent="0.15">
      <c r="B34" t="s">
        <v>92</v>
      </c>
      <c r="C34" s="12">
        <v>124</v>
      </c>
      <c r="D34" s="8">
        <v>4.82</v>
      </c>
      <c r="E34" s="12">
        <v>67</v>
      </c>
      <c r="F34" s="8">
        <v>6.07</v>
      </c>
      <c r="G34" s="12">
        <v>57</v>
      </c>
      <c r="H34" s="8">
        <v>3.89</v>
      </c>
      <c r="I34" s="12">
        <v>0</v>
      </c>
    </row>
    <row r="35" spans="2:9" ht="15" customHeight="1" x14ac:dyDescent="0.15">
      <c r="B35" t="s">
        <v>103</v>
      </c>
      <c r="C35" s="12">
        <v>123</v>
      </c>
      <c r="D35" s="8">
        <v>4.78</v>
      </c>
      <c r="E35" s="12">
        <v>106</v>
      </c>
      <c r="F35" s="8">
        <v>9.6</v>
      </c>
      <c r="G35" s="12">
        <v>17</v>
      </c>
      <c r="H35" s="8">
        <v>1.1599999999999999</v>
      </c>
      <c r="I35" s="12">
        <v>0</v>
      </c>
    </row>
    <row r="36" spans="2:9" ht="15" customHeight="1" x14ac:dyDescent="0.15">
      <c r="B36" t="s">
        <v>102</v>
      </c>
      <c r="C36" s="12">
        <v>103</v>
      </c>
      <c r="D36" s="8">
        <v>4.01</v>
      </c>
      <c r="E36" s="12">
        <v>72</v>
      </c>
      <c r="F36" s="8">
        <v>6.52</v>
      </c>
      <c r="G36" s="12">
        <v>31</v>
      </c>
      <c r="H36" s="8">
        <v>2.12</v>
      </c>
      <c r="I36" s="12">
        <v>0</v>
      </c>
    </row>
    <row r="37" spans="2:9" ht="15" customHeight="1" x14ac:dyDescent="0.15">
      <c r="B37" t="s">
        <v>86</v>
      </c>
      <c r="C37" s="12">
        <v>88</v>
      </c>
      <c r="D37" s="8">
        <v>3.42</v>
      </c>
      <c r="E37" s="12">
        <v>22</v>
      </c>
      <c r="F37" s="8">
        <v>1.99</v>
      </c>
      <c r="G37" s="12">
        <v>66</v>
      </c>
      <c r="H37" s="8">
        <v>4.51</v>
      </c>
      <c r="I37" s="12">
        <v>0</v>
      </c>
    </row>
    <row r="38" spans="2:9" ht="15" customHeight="1" x14ac:dyDescent="0.15">
      <c r="B38" t="s">
        <v>91</v>
      </c>
      <c r="C38" s="12">
        <v>74</v>
      </c>
      <c r="D38" s="8">
        <v>2.88</v>
      </c>
      <c r="E38" s="12">
        <v>22</v>
      </c>
      <c r="F38" s="8">
        <v>1.99</v>
      </c>
      <c r="G38" s="12">
        <v>52</v>
      </c>
      <c r="H38" s="8">
        <v>3.55</v>
      </c>
      <c r="I38" s="12">
        <v>0</v>
      </c>
    </row>
    <row r="39" spans="2:9" ht="15" customHeight="1" x14ac:dyDescent="0.15">
      <c r="B39" t="s">
        <v>87</v>
      </c>
      <c r="C39" s="12">
        <v>68</v>
      </c>
      <c r="D39" s="8">
        <v>2.64</v>
      </c>
      <c r="E39" s="12">
        <v>6</v>
      </c>
      <c r="F39" s="8">
        <v>0.54</v>
      </c>
      <c r="G39" s="12">
        <v>62</v>
      </c>
      <c r="H39" s="8">
        <v>4.2300000000000004</v>
      </c>
      <c r="I39" s="12">
        <v>0</v>
      </c>
    </row>
    <row r="40" spans="2:9" ht="15" customHeight="1" x14ac:dyDescent="0.15">
      <c r="B40" t="s">
        <v>97</v>
      </c>
      <c r="C40" s="12">
        <v>68</v>
      </c>
      <c r="D40" s="8">
        <v>2.64</v>
      </c>
      <c r="E40" s="12">
        <v>35</v>
      </c>
      <c r="F40" s="8">
        <v>3.17</v>
      </c>
      <c r="G40" s="12">
        <v>33</v>
      </c>
      <c r="H40" s="8">
        <v>2.25</v>
      </c>
      <c r="I40" s="12">
        <v>0</v>
      </c>
    </row>
    <row r="41" spans="2:9" ht="15" customHeight="1" x14ac:dyDescent="0.15">
      <c r="B41" t="s">
        <v>98</v>
      </c>
      <c r="C41" s="12">
        <v>67</v>
      </c>
      <c r="D41" s="8">
        <v>2.61</v>
      </c>
      <c r="E41" s="12">
        <v>19</v>
      </c>
      <c r="F41" s="8">
        <v>1.72</v>
      </c>
      <c r="G41" s="12">
        <v>48</v>
      </c>
      <c r="H41" s="8">
        <v>3.28</v>
      </c>
      <c r="I41" s="12">
        <v>0</v>
      </c>
    </row>
    <row r="42" spans="2:9" ht="15" customHeight="1" x14ac:dyDescent="0.15">
      <c r="B42" t="s">
        <v>90</v>
      </c>
      <c r="C42" s="12">
        <v>47</v>
      </c>
      <c r="D42" s="8">
        <v>1.83</v>
      </c>
      <c r="E42" s="12">
        <v>1</v>
      </c>
      <c r="F42" s="8">
        <v>0.09</v>
      </c>
      <c r="G42" s="12">
        <v>46</v>
      </c>
      <c r="H42" s="8">
        <v>3.14</v>
      </c>
      <c r="I42" s="12">
        <v>0</v>
      </c>
    </row>
    <row r="43" spans="2:9" ht="15" customHeight="1" x14ac:dyDescent="0.15">
      <c r="B43" t="s">
        <v>107</v>
      </c>
      <c r="C43" s="12">
        <v>45</v>
      </c>
      <c r="D43" s="8">
        <v>1.75</v>
      </c>
      <c r="E43" s="12">
        <v>5</v>
      </c>
      <c r="F43" s="8">
        <v>0.45</v>
      </c>
      <c r="G43" s="12">
        <v>40</v>
      </c>
      <c r="H43" s="8">
        <v>2.73</v>
      </c>
      <c r="I43" s="12">
        <v>0</v>
      </c>
    </row>
    <row r="44" spans="2:9" ht="15" customHeight="1" x14ac:dyDescent="0.15">
      <c r="B44" t="s">
        <v>95</v>
      </c>
      <c r="C44" s="12">
        <v>45</v>
      </c>
      <c r="D44" s="8">
        <v>1.75</v>
      </c>
      <c r="E44" s="12">
        <v>5</v>
      </c>
      <c r="F44" s="8">
        <v>0.45</v>
      </c>
      <c r="G44" s="12">
        <v>40</v>
      </c>
      <c r="H44" s="8">
        <v>2.73</v>
      </c>
      <c r="I44" s="12">
        <v>0</v>
      </c>
    </row>
    <row r="45" spans="2:9" ht="15" customHeight="1" x14ac:dyDescent="0.15">
      <c r="B45" t="s">
        <v>106</v>
      </c>
      <c r="C45" s="12">
        <v>44</v>
      </c>
      <c r="D45" s="8">
        <v>1.71</v>
      </c>
      <c r="E45" s="12">
        <v>4</v>
      </c>
      <c r="F45" s="8">
        <v>0.36</v>
      </c>
      <c r="G45" s="12">
        <v>40</v>
      </c>
      <c r="H45" s="8">
        <v>2.73</v>
      </c>
      <c r="I45" s="12">
        <v>0</v>
      </c>
    </row>
    <row r="46" spans="2:9" ht="15" customHeight="1" x14ac:dyDescent="0.15">
      <c r="B46" t="s">
        <v>93</v>
      </c>
      <c r="C46" s="12">
        <v>44</v>
      </c>
      <c r="D46" s="8">
        <v>1.71</v>
      </c>
      <c r="E46" s="12">
        <v>15</v>
      </c>
      <c r="F46" s="8">
        <v>1.36</v>
      </c>
      <c r="G46" s="12">
        <v>29</v>
      </c>
      <c r="H46" s="8">
        <v>1.98</v>
      </c>
      <c r="I46" s="12">
        <v>0</v>
      </c>
    </row>
    <row r="47" spans="2:9" ht="15" customHeight="1" x14ac:dyDescent="0.15">
      <c r="B47" t="s">
        <v>105</v>
      </c>
      <c r="C47" s="12">
        <v>39</v>
      </c>
      <c r="D47" s="8">
        <v>1.52</v>
      </c>
      <c r="E47" s="12">
        <v>4</v>
      </c>
      <c r="F47" s="8">
        <v>0.36</v>
      </c>
      <c r="G47" s="12">
        <v>35</v>
      </c>
      <c r="H47" s="8">
        <v>2.39</v>
      </c>
      <c r="I47" s="12">
        <v>0</v>
      </c>
    </row>
    <row r="48" spans="2:9" ht="15" customHeight="1" x14ac:dyDescent="0.15">
      <c r="B48" t="s">
        <v>101</v>
      </c>
      <c r="C48" s="12">
        <v>36</v>
      </c>
      <c r="D48" s="8">
        <v>1.4</v>
      </c>
      <c r="E48" s="12">
        <v>10</v>
      </c>
      <c r="F48" s="8">
        <v>0.91</v>
      </c>
      <c r="G48" s="12">
        <v>26</v>
      </c>
      <c r="H48" s="8">
        <v>1.78</v>
      </c>
      <c r="I48" s="12">
        <v>0</v>
      </c>
    </row>
    <row r="51" spans="2:9" ht="33" customHeight="1" x14ac:dyDescent="0.15">
      <c r="B51" t="s">
        <v>255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234</v>
      </c>
      <c r="D52" s="8">
        <v>9.1</v>
      </c>
      <c r="E52" s="12">
        <v>189</v>
      </c>
      <c r="F52" s="8">
        <v>17.12</v>
      </c>
      <c r="G52" s="12">
        <v>45</v>
      </c>
      <c r="H52" s="8">
        <v>3.07</v>
      </c>
      <c r="I52" s="12">
        <v>0</v>
      </c>
    </row>
    <row r="53" spans="2:9" ht="15" customHeight="1" x14ac:dyDescent="0.15">
      <c r="B53" t="s">
        <v>155</v>
      </c>
      <c r="C53" s="12">
        <v>142</v>
      </c>
      <c r="D53" s="8">
        <v>5.52</v>
      </c>
      <c r="E53" s="12">
        <v>109</v>
      </c>
      <c r="F53" s="8">
        <v>9.8699999999999992</v>
      </c>
      <c r="G53" s="12">
        <v>33</v>
      </c>
      <c r="H53" s="8">
        <v>2.25</v>
      </c>
      <c r="I53" s="12">
        <v>0</v>
      </c>
    </row>
    <row r="54" spans="2:9" ht="15" customHeight="1" x14ac:dyDescent="0.15">
      <c r="B54" t="s">
        <v>157</v>
      </c>
      <c r="C54" s="12">
        <v>77</v>
      </c>
      <c r="D54" s="8">
        <v>2.99</v>
      </c>
      <c r="E54" s="12">
        <v>67</v>
      </c>
      <c r="F54" s="8">
        <v>6.07</v>
      </c>
      <c r="G54" s="12">
        <v>10</v>
      </c>
      <c r="H54" s="8">
        <v>0.68</v>
      </c>
      <c r="I54" s="12">
        <v>0</v>
      </c>
    </row>
    <row r="55" spans="2:9" ht="15" customHeight="1" x14ac:dyDescent="0.15">
      <c r="B55" t="s">
        <v>154</v>
      </c>
      <c r="C55" s="12">
        <v>70</v>
      </c>
      <c r="D55" s="8">
        <v>2.72</v>
      </c>
      <c r="E55" s="12">
        <v>62</v>
      </c>
      <c r="F55" s="8">
        <v>5.62</v>
      </c>
      <c r="G55" s="12">
        <v>8</v>
      </c>
      <c r="H55" s="8">
        <v>0.55000000000000004</v>
      </c>
      <c r="I55" s="12">
        <v>0</v>
      </c>
    </row>
    <row r="56" spans="2:9" ht="15" customHeight="1" x14ac:dyDescent="0.15">
      <c r="B56" t="s">
        <v>156</v>
      </c>
      <c r="C56" s="12">
        <v>67</v>
      </c>
      <c r="D56" s="8">
        <v>2.61</v>
      </c>
      <c r="E56" s="12">
        <v>53</v>
      </c>
      <c r="F56" s="8">
        <v>4.8</v>
      </c>
      <c r="G56" s="12">
        <v>14</v>
      </c>
      <c r="H56" s="8">
        <v>0.96</v>
      </c>
      <c r="I56" s="12">
        <v>0</v>
      </c>
    </row>
    <row r="57" spans="2:9" ht="15" customHeight="1" x14ac:dyDescent="0.15">
      <c r="B57" t="s">
        <v>145</v>
      </c>
      <c r="C57" s="12">
        <v>64</v>
      </c>
      <c r="D57" s="8">
        <v>2.4900000000000002</v>
      </c>
      <c r="E57" s="12">
        <v>32</v>
      </c>
      <c r="F57" s="8">
        <v>2.9</v>
      </c>
      <c r="G57" s="12">
        <v>31</v>
      </c>
      <c r="H57" s="8">
        <v>2.12</v>
      </c>
      <c r="I57" s="12">
        <v>1</v>
      </c>
    </row>
    <row r="58" spans="2:9" ht="15" customHeight="1" x14ac:dyDescent="0.15">
      <c r="B58" t="s">
        <v>151</v>
      </c>
      <c r="C58" s="12">
        <v>57</v>
      </c>
      <c r="D58" s="8">
        <v>2.2200000000000002</v>
      </c>
      <c r="E58" s="12">
        <v>49</v>
      </c>
      <c r="F58" s="8">
        <v>4.4400000000000004</v>
      </c>
      <c r="G58" s="12">
        <v>8</v>
      </c>
      <c r="H58" s="8">
        <v>0.55000000000000004</v>
      </c>
      <c r="I58" s="12">
        <v>0</v>
      </c>
    </row>
    <row r="59" spans="2:9" ht="15" customHeight="1" x14ac:dyDescent="0.15">
      <c r="B59" t="s">
        <v>153</v>
      </c>
      <c r="C59" s="12">
        <v>56</v>
      </c>
      <c r="D59" s="8">
        <v>2.1800000000000002</v>
      </c>
      <c r="E59" s="12">
        <v>25</v>
      </c>
      <c r="F59" s="8">
        <v>2.2599999999999998</v>
      </c>
      <c r="G59" s="12">
        <v>31</v>
      </c>
      <c r="H59" s="8">
        <v>2.12</v>
      </c>
      <c r="I59" s="12">
        <v>0</v>
      </c>
    </row>
    <row r="60" spans="2:9" ht="15" customHeight="1" x14ac:dyDescent="0.15">
      <c r="B60" t="s">
        <v>149</v>
      </c>
      <c r="C60" s="12">
        <v>53</v>
      </c>
      <c r="D60" s="8">
        <v>2.06</v>
      </c>
      <c r="E60" s="12">
        <v>4</v>
      </c>
      <c r="F60" s="8">
        <v>0.36</v>
      </c>
      <c r="G60" s="12">
        <v>48</v>
      </c>
      <c r="H60" s="8">
        <v>3.28</v>
      </c>
      <c r="I60" s="12">
        <v>1</v>
      </c>
    </row>
    <row r="61" spans="2:9" ht="15" customHeight="1" x14ac:dyDescent="0.15">
      <c r="B61" t="s">
        <v>143</v>
      </c>
      <c r="C61" s="12">
        <v>51</v>
      </c>
      <c r="D61" s="8">
        <v>1.98</v>
      </c>
      <c r="E61" s="12">
        <v>25</v>
      </c>
      <c r="F61" s="8">
        <v>2.2599999999999998</v>
      </c>
      <c r="G61" s="12">
        <v>26</v>
      </c>
      <c r="H61" s="8">
        <v>1.78</v>
      </c>
      <c r="I61" s="12">
        <v>0</v>
      </c>
    </row>
    <row r="62" spans="2:9" ht="15" customHeight="1" x14ac:dyDescent="0.15">
      <c r="B62" t="s">
        <v>150</v>
      </c>
      <c r="C62" s="12">
        <v>50</v>
      </c>
      <c r="D62" s="8">
        <v>1.94</v>
      </c>
      <c r="E62" s="12">
        <v>37</v>
      </c>
      <c r="F62" s="8">
        <v>3.35</v>
      </c>
      <c r="G62" s="12">
        <v>13</v>
      </c>
      <c r="H62" s="8">
        <v>0.89</v>
      </c>
      <c r="I62" s="12">
        <v>0</v>
      </c>
    </row>
    <row r="63" spans="2:9" ht="15" customHeight="1" x14ac:dyDescent="0.15">
      <c r="B63" t="s">
        <v>158</v>
      </c>
      <c r="C63" s="12">
        <v>39</v>
      </c>
      <c r="D63" s="8">
        <v>1.52</v>
      </c>
      <c r="E63" s="12">
        <v>5</v>
      </c>
      <c r="F63" s="8">
        <v>0.45</v>
      </c>
      <c r="G63" s="12">
        <v>34</v>
      </c>
      <c r="H63" s="8">
        <v>2.3199999999999998</v>
      </c>
      <c r="I63" s="12">
        <v>0</v>
      </c>
    </row>
    <row r="64" spans="2:9" ht="15" customHeight="1" x14ac:dyDescent="0.15">
      <c r="B64" t="s">
        <v>163</v>
      </c>
      <c r="C64" s="12">
        <v>39</v>
      </c>
      <c r="D64" s="8">
        <v>1.52</v>
      </c>
      <c r="E64" s="12">
        <v>36</v>
      </c>
      <c r="F64" s="8">
        <v>3.26</v>
      </c>
      <c r="G64" s="12">
        <v>3</v>
      </c>
      <c r="H64" s="8">
        <v>0.2</v>
      </c>
      <c r="I64" s="12">
        <v>0</v>
      </c>
    </row>
    <row r="65" spans="2:9" ht="15" customHeight="1" x14ac:dyDescent="0.15">
      <c r="B65" t="s">
        <v>142</v>
      </c>
      <c r="C65" s="12">
        <v>37</v>
      </c>
      <c r="D65" s="8">
        <v>1.44</v>
      </c>
      <c r="E65" s="12">
        <v>14</v>
      </c>
      <c r="F65" s="8">
        <v>1.27</v>
      </c>
      <c r="G65" s="12">
        <v>23</v>
      </c>
      <c r="H65" s="8">
        <v>1.57</v>
      </c>
      <c r="I65" s="12">
        <v>0</v>
      </c>
    </row>
    <row r="66" spans="2:9" ht="15" customHeight="1" x14ac:dyDescent="0.15">
      <c r="B66" t="s">
        <v>146</v>
      </c>
      <c r="C66" s="12">
        <v>35</v>
      </c>
      <c r="D66" s="8">
        <v>1.36</v>
      </c>
      <c r="E66" s="12">
        <v>5</v>
      </c>
      <c r="F66" s="8">
        <v>0.45</v>
      </c>
      <c r="G66" s="12">
        <v>30</v>
      </c>
      <c r="H66" s="8">
        <v>2.0499999999999998</v>
      </c>
      <c r="I66" s="12">
        <v>0</v>
      </c>
    </row>
    <row r="67" spans="2:9" ht="15" customHeight="1" x14ac:dyDescent="0.15">
      <c r="B67" t="s">
        <v>152</v>
      </c>
      <c r="C67" s="12">
        <v>34</v>
      </c>
      <c r="D67" s="8">
        <v>1.32</v>
      </c>
      <c r="E67" s="12">
        <v>31</v>
      </c>
      <c r="F67" s="8">
        <v>2.81</v>
      </c>
      <c r="G67" s="12">
        <v>3</v>
      </c>
      <c r="H67" s="8">
        <v>0.2</v>
      </c>
      <c r="I67" s="12">
        <v>0</v>
      </c>
    </row>
    <row r="68" spans="2:9" ht="15" customHeight="1" x14ac:dyDescent="0.15">
      <c r="B68" t="s">
        <v>174</v>
      </c>
      <c r="C68" s="12">
        <v>33</v>
      </c>
      <c r="D68" s="8">
        <v>1.28</v>
      </c>
      <c r="E68" s="12">
        <v>9</v>
      </c>
      <c r="F68" s="8">
        <v>0.82</v>
      </c>
      <c r="G68" s="12">
        <v>24</v>
      </c>
      <c r="H68" s="8">
        <v>1.64</v>
      </c>
      <c r="I68" s="12">
        <v>0</v>
      </c>
    </row>
    <row r="69" spans="2:9" ht="15" customHeight="1" x14ac:dyDescent="0.15">
      <c r="B69" t="s">
        <v>161</v>
      </c>
      <c r="C69" s="12">
        <v>31</v>
      </c>
      <c r="D69" s="8">
        <v>1.21</v>
      </c>
      <c r="E69" s="12">
        <v>8</v>
      </c>
      <c r="F69" s="8">
        <v>0.72</v>
      </c>
      <c r="G69" s="12">
        <v>23</v>
      </c>
      <c r="H69" s="8">
        <v>1.57</v>
      </c>
      <c r="I69" s="12">
        <v>0</v>
      </c>
    </row>
    <row r="70" spans="2:9" ht="15" customHeight="1" x14ac:dyDescent="0.15">
      <c r="B70" t="s">
        <v>147</v>
      </c>
      <c r="C70" s="12">
        <v>31</v>
      </c>
      <c r="D70" s="8">
        <v>1.21</v>
      </c>
      <c r="E70" s="12">
        <v>12</v>
      </c>
      <c r="F70" s="8">
        <v>1.0900000000000001</v>
      </c>
      <c r="G70" s="12">
        <v>19</v>
      </c>
      <c r="H70" s="8">
        <v>1.3</v>
      </c>
      <c r="I70" s="12">
        <v>0</v>
      </c>
    </row>
    <row r="71" spans="2:9" ht="15" customHeight="1" x14ac:dyDescent="0.15">
      <c r="B71" t="s">
        <v>175</v>
      </c>
      <c r="C71" s="12">
        <v>31</v>
      </c>
      <c r="D71" s="8">
        <v>1.21</v>
      </c>
      <c r="E71" s="12">
        <v>19</v>
      </c>
      <c r="F71" s="8">
        <v>1.72</v>
      </c>
      <c r="G71" s="12">
        <v>12</v>
      </c>
      <c r="H71" s="8">
        <v>0.82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634</v>
      </c>
      <c r="D6" s="8">
        <v>10.57</v>
      </c>
      <c r="E6" s="12">
        <v>82</v>
      </c>
      <c r="F6" s="8">
        <v>3.68</v>
      </c>
      <c r="G6" s="12">
        <v>552</v>
      </c>
      <c r="H6" s="8">
        <v>14.66</v>
      </c>
      <c r="I6" s="12">
        <v>0</v>
      </c>
    </row>
    <row r="7" spans="2:9" ht="15" customHeight="1" x14ac:dyDescent="0.15">
      <c r="B7" t="s">
        <v>64</v>
      </c>
      <c r="C7" s="12">
        <v>849</v>
      </c>
      <c r="D7" s="8">
        <v>14.15</v>
      </c>
      <c r="E7" s="12">
        <v>121</v>
      </c>
      <c r="F7" s="8">
        <v>5.43</v>
      </c>
      <c r="G7" s="12">
        <v>728</v>
      </c>
      <c r="H7" s="8">
        <v>19.34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117</v>
      </c>
      <c r="D9" s="8">
        <v>1.95</v>
      </c>
      <c r="E9" s="12">
        <v>0</v>
      </c>
      <c r="F9" s="8">
        <v>0</v>
      </c>
      <c r="G9" s="12">
        <v>116</v>
      </c>
      <c r="H9" s="8">
        <v>3.08</v>
      </c>
      <c r="I9" s="12">
        <v>1</v>
      </c>
    </row>
    <row r="10" spans="2:9" ht="15" customHeight="1" x14ac:dyDescent="0.15">
      <c r="B10" t="s">
        <v>67</v>
      </c>
      <c r="C10" s="12">
        <v>30</v>
      </c>
      <c r="D10" s="8">
        <v>0.5</v>
      </c>
      <c r="E10" s="12">
        <v>8</v>
      </c>
      <c r="F10" s="8">
        <v>0.36</v>
      </c>
      <c r="G10" s="12">
        <v>22</v>
      </c>
      <c r="H10" s="8">
        <v>0.57999999999999996</v>
      </c>
      <c r="I10" s="12">
        <v>0</v>
      </c>
    </row>
    <row r="11" spans="2:9" ht="15" customHeight="1" x14ac:dyDescent="0.15">
      <c r="B11" t="s">
        <v>68</v>
      </c>
      <c r="C11" s="12">
        <v>1139</v>
      </c>
      <c r="D11" s="8">
        <v>18.989999999999998</v>
      </c>
      <c r="E11" s="12">
        <v>320</v>
      </c>
      <c r="F11" s="8">
        <v>14.36</v>
      </c>
      <c r="G11" s="12">
        <v>819</v>
      </c>
      <c r="H11" s="8">
        <v>21.75</v>
      </c>
      <c r="I11" s="12">
        <v>0</v>
      </c>
    </row>
    <row r="12" spans="2:9" ht="15" customHeight="1" x14ac:dyDescent="0.15">
      <c r="B12" t="s">
        <v>69</v>
      </c>
      <c r="C12" s="12">
        <v>31</v>
      </c>
      <c r="D12" s="8">
        <v>0.52</v>
      </c>
      <c r="E12" s="12">
        <v>1</v>
      </c>
      <c r="F12" s="8">
        <v>0.04</v>
      </c>
      <c r="G12" s="12">
        <v>30</v>
      </c>
      <c r="H12" s="8">
        <v>0.8</v>
      </c>
      <c r="I12" s="12">
        <v>0</v>
      </c>
    </row>
    <row r="13" spans="2:9" ht="15" customHeight="1" x14ac:dyDescent="0.15">
      <c r="B13" t="s">
        <v>70</v>
      </c>
      <c r="C13" s="12">
        <v>1101</v>
      </c>
      <c r="D13" s="8">
        <v>18.36</v>
      </c>
      <c r="E13" s="12">
        <v>480</v>
      </c>
      <c r="F13" s="8">
        <v>21.53</v>
      </c>
      <c r="G13" s="12">
        <v>621</v>
      </c>
      <c r="H13" s="8">
        <v>16.489999999999998</v>
      </c>
      <c r="I13" s="12">
        <v>0</v>
      </c>
    </row>
    <row r="14" spans="2:9" ht="15" customHeight="1" x14ac:dyDescent="0.15">
      <c r="B14" t="s">
        <v>71</v>
      </c>
      <c r="C14" s="12">
        <v>354</v>
      </c>
      <c r="D14" s="8">
        <v>5.9</v>
      </c>
      <c r="E14" s="12">
        <v>115</v>
      </c>
      <c r="F14" s="8">
        <v>5.16</v>
      </c>
      <c r="G14" s="12">
        <v>239</v>
      </c>
      <c r="H14" s="8">
        <v>6.35</v>
      </c>
      <c r="I14" s="12">
        <v>0</v>
      </c>
    </row>
    <row r="15" spans="2:9" ht="15" customHeight="1" x14ac:dyDescent="0.15">
      <c r="B15" t="s">
        <v>72</v>
      </c>
      <c r="C15" s="12">
        <v>530</v>
      </c>
      <c r="D15" s="8">
        <v>8.84</v>
      </c>
      <c r="E15" s="12">
        <v>387</v>
      </c>
      <c r="F15" s="8">
        <v>17.36</v>
      </c>
      <c r="G15" s="12">
        <v>142</v>
      </c>
      <c r="H15" s="8">
        <v>3.77</v>
      </c>
      <c r="I15" s="12">
        <v>1</v>
      </c>
    </row>
    <row r="16" spans="2:9" ht="15" customHeight="1" x14ac:dyDescent="0.15">
      <c r="B16" t="s">
        <v>73</v>
      </c>
      <c r="C16" s="12">
        <v>548</v>
      </c>
      <c r="D16" s="8">
        <v>9.14</v>
      </c>
      <c r="E16" s="12">
        <v>365</v>
      </c>
      <c r="F16" s="8">
        <v>16.38</v>
      </c>
      <c r="G16" s="12">
        <v>183</v>
      </c>
      <c r="H16" s="8">
        <v>4.8600000000000003</v>
      </c>
      <c r="I16" s="12">
        <v>0</v>
      </c>
    </row>
    <row r="17" spans="2:9" ht="15" customHeight="1" x14ac:dyDescent="0.15">
      <c r="B17" t="s">
        <v>74</v>
      </c>
      <c r="C17" s="12">
        <v>170</v>
      </c>
      <c r="D17" s="8">
        <v>2.83</v>
      </c>
      <c r="E17" s="12">
        <v>105</v>
      </c>
      <c r="F17" s="8">
        <v>4.71</v>
      </c>
      <c r="G17" s="12">
        <v>65</v>
      </c>
      <c r="H17" s="8">
        <v>1.73</v>
      </c>
      <c r="I17" s="12">
        <v>0</v>
      </c>
    </row>
    <row r="18" spans="2:9" ht="15" customHeight="1" x14ac:dyDescent="0.15">
      <c r="B18" t="s">
        <v>75</v>
      </c>
      <c r="C18" s="12">
        <v>279</v>
      </c>
      <c r="D18" s="8">
        <v>4.6500000000000004</v>
      </c>
      <c r="E18" s="12">
        <v>196</v>
      </c>
      <c r="F18" s="8">
        <v>8.7899999999999991</v>
      </c>
      <c r="G18" s="12">
        <v>82</v>
      </c>
      <c r="H18" s="8">
        <v>2.1800000000000002</v>
      </c>
      <c r="I18" s="12">
        <v>1</v>
      </c>
    </row>
    <row r="19" spans="2:9" ht="15" customHeight="1" x14ac:dyDescent="0.15">
      <c r="B19" t="s">
        <v>76</v>
      </c>
      <c r="C19" s="12">
        <v>216</v>
      </c>
      <c r="D19" s="8">
        <v>3.6</v>
      </c>
      <c r="E19" s="12">
        <v>49</v>
      </c>
      <c r="F19" s="8">
        <v>2.2000000000000002</v>
      </c>
      <c r="G19" s="12">
        <v>166</v>
      </c>
      <c r="H19" s="8">
        <v>4.41</v>
      </c>
      <c r="I19" s="12">
        <v>1</v>
      </c>
    </row>
    <row r="20" spans="2:9" ht="15" customHeight="1" x14ac:dyDescent="0.15">
      <c r="B20" s="9" t="s">
        <v>216</v>
      </c>
      <c r="C20" s="12">
        <f>SUM(LTBL_14109[総数／事業所数])</f>
        <v>5998</v>
      </c>
      <c r="E20" s="12">
        <f>SUBTOTAL(109,LTBL_14109[個人／事業所数])</f>
        <v>2229</v>
      </c>
      <c r="G20" s="12">
        <f>SUBTOTAL(109,LTBL_14109[法人／事業所数])</f>
        <v>3765</v>
      </c>
      <c r="I20" s="12">
        <f>SUBTOTAL(109,LTBL_14109[法人以外の団体／事業所数])</f>
        <v>4</v>
      </c>
    </row>
    <row r="21" spans="2:9" ht="15" customHeight="1" x14ac:dyDescent="0.15">
      <c r="E21" s="11">
        <f>LTBL_14109[[#Totals],[個人／事業所数]]/LTBL_14109[[#Totals],[総数／事業所数]]</f>
        <v>0.37162387462487495</v>
      </c>
      <c r="G21" s="11">
        <f>LTBL_14109[[#Totals],[法人／事業所数]]/LTBL_14109[[#Totals],[総数／事業所数]]</f>
        <v>0.62770923641213738</v>
      </c>
      <c r="I21" s="11">
        <f>LTBL_14109[[#Totals],[法人以外の団体／事業所数]]/LTBL_14109[[#Totals],[総数／事業所数]]</f>
        <v>6.6688896298766251E-4</v>
      </c>
    </row>
    <row r="23" spans="2:9" ht="33" customHeight="1" x14ac:dyDescent="0.15">
      <c r="B23" t="s">
        <v>215</v>
      </c>
      <c r="C23" s="10" t="s">
        <v>78</v>
      </c>
      <c r="D23" s="10" t="s">
        <v>257</v>
      </c>
      <c r="E23" s="10" t="s">
        <v>80</v>
      </c>
      <c r="F23" s="10" t="s">
        <v>258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8</v>
      </c>
      <c r="D24" t="s">
        <v>217</v>
      </c>
      <c r="E24">
        <v>0</v>
      </c>
      <c r="F24" t="s">
        <v>219</v>
      </c>
      <c r="G24">
        <v>8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259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937</v>
      </c>
      <c r="D29" s="8">
        <v>15.62</v>
      </c>
      <c r="E29" s="12">
        <v>468</v>
      </c>
      <c r="F29" s="8">
        <v>21</v>
      </c>
      <c r="G29" s="12">
        <v>469</v>
      </c>
      <c r="H29" s="8">
        <v>12.46</v>
      </c>
      <c r="I29" s="12">
        <v>0</v>
      </c>
    </row>
    <row r="30" spans="2:9" ht="15" customHeight="1" x14ac:dyDescent="0.15">
      <c r="B30" t="s">
        <v>99</v>
      </c>
      <c r="C30" s="12">
        <v>485</v>
      </c>
      <c r="D30" s="8">
        <v>8.09</v>
      </c>
      <c r="E30" s="12">
        <v>380</v>
      </c>
      <c r="F30" s="8">
        <v>17.05</v>
      </c>
      <c r="G30" s="12">
        <v>104</v>
      </c>
      <c r="H30" s="8">
        <v>2.76</v>
      </c>
      <c r="I30" s="12">
        <v>1</v>
      </c>
    </row>
    <row r="31" spans="2:9" ht="15" customHeight="1" x14ac:dyDescent="0.15">
      <c r="B31" t="s">
        <v>100</v>
      </c>
      <c r="C31" s="12">
        <v>459</v>
      </c>
      <c r="D31" s="8">
        <v>7.65</v>
      </c>
      <c r="E31" s="12">
        <v>326</v>
      </c>
      <c r="F31" s="8">
        <v>14.63</v>
      </c>
      <c r="G31" s="12">
        <v>133</v>
      </c>
      <c r="H31" s="8">
        <v>3.53</v>
      </c>
      <c r="I31" s="12">
        <v>0</v>
      </c>
    </row>
    <row r="32" spans="2:9" ht="15" customHeight="1" x14ac:dyDescent="0.15">
      <c r="B32" t="s">
        <v>94</v>
      </c>
      <c r="C32" s="12">
        <v>312</v>
      </c>
      <c r="D32" s="8">
        <v>5.2</v>
      </c>
      <c r="E32" s="12">
        <v>129</v>
      </c>
      <c r="F32" s="8">
        <v>5.79</v>
      </c>
      <c r="G32" s="12">
        <v>183</v>
      </c>
      <c r="H32" s="8">
        <v>4.8600000000000003</v>
      </c>
      <c r="I32" s="12">
        <v>0</v>
      </c>
    </row>
    <row r="33" spans="2:9" ht="15" customHeight="1" x14ac:dyDescent="0.15">
      <c r="B33" t="s">
        <v>103</v>
      </c>
      <c r="C33" s="12">
        <v>242</v>
      </c>
      <c r="D33" s="8">
        <v>4.03</v>
      </c>
      <c r="E33" s="12">
        <v>196</v>
      </c>
      <c r="F33" s="8">
        <v>8.7899999999999991</v>
      </c>
      <c r="G33" s="12">
        <v>46</v>
      </c>
      <c r="H33" s="8">
        <v>1.22</v>
      </c>
      <c r="I33" s="12">
        <v>0</v>
      </c>
    </row>
    <row r="34" spans="2:9" ht="15" customHeight="1" x14ac:dyDescent="0.15">
      <c r="B34" t="s">
        <v>85</v>
      </c>
      <c r="C34" s="12">
        <v>237</v>
      </c>
      <c r="D34" s="8">
        <v>3.95</v>
      </c>
      <c r="E34" s="12">
        <v>26</v>
      </c>
      <c r="F34" s="8">
        <v>1.17</v>
      </c>
      <c r="G34" s="12">
        <v>211</v>
      </c>
      <c r="H34" s="8">
        <v>5.6</v>
      </c>
      <c r="I34" s="12">
        <v>0</v>
      </c>
    </row>
    <row r="35" spans="2:9" ht="15" customHeight="1" x14ac:dyDescent="0.15">
      <c r="B35" t="s">
        <v>88</v>
      </c>
      <c r="C35" s="12">
        <v>233</v>
      </c>
      <c r="D35" s="8">
        <v>3.88</v>
      </c>
      <c r="E35" s="12">
        <v>44</v>
      </c>
      <c r="F35" s="8">
        <v>1.97</v>
      </c>
      <c r="G35" s="12">
        <v>189</v>
      </c>
      <c r="H35" s="8">
        <v>5.0199999999999996</v>
      </c>
      <c r="I35" s="12">
        <v>0</v>
      </c>
    </row>
    <row r="36" spans="2:9" ht="15" customHeight="1" x14ac:dyDescent="0.15">
      <c r="B36" t="s">
        <v>86</v>
      </c>
      <c r="C36" s="12">
        <v>207</v>
      </c>
      <c r="D36" s="8">
        <v>3.45</v>
      </c>
      <c r="E36" s="12">
        <v>41</v>
      </c>
      <c r="F36" s="8">
        <v>1.84</v>
      </c>
      <c r="G36" s="12">
        <v>166</v>
      </c>
      <c r="H36" s="8">
        <v>4.41</v>
      </c>
      <c r="I36" s="12">
        <v>0</v>
      </c>
    </row>
    <row r="37" spans="2:9" ht="15" customHeight="1" x14ac:dyDescent="0.15">
      <c r="B37" t="s">
        <v>92</v>
      </c>
      <c r="C37" s="12">
        <v>207</v>
      </c>
      <c r="D37" s="8">
        <v>3.45</v>
      </c>
      <c r="E37" s="12">
        <v>95</v>
      </c>
      <c r="F37" s="8">
        <v>4.26</v>
      </c>
      <c r="G37" s="12">
        <v>112</v>
      </c>
      <c r="H37" s="8">
        <v>2.97</v>
      </c>
      <c r="I37" s="12">
        <v>0</v>
      </c>
    </row>
    <row r="38" spans="2:9" ht="15" customHeight="1" x14ac:dyDescent="0.15">
      <c r="B38" t="s">
        <v>97</v>
      </c>
      <c r="C38" s="12">
        <v>194</v>
      </c>
      <c r="D38" s="8">
        <v>3.23</v>
      </c>
      <c r="E38" s="12">
        <v>84</v>
      </c>
      <c r="F38" s="8">
        <v>3.77</v>
      </c>
      <c r="G38" s="12">
        <v>110</v>
      </c>
      <c r="H38" s="8">
        <v>2.92</v>
      </c>
      <c r="I38" s="12">
        <v>0</v>
      </c>
    </row>
    <row r="39" spans="2:9" ht="15" customHeight="1" x14ac:dyDescent="0.15">
      <c r="B39" t="s">
        <v>87</v>
      </c>
      <c r="C39" s="12">
        <v>190</v>
      </c>
      <c r="D39" s="8">
        <v>3.17</v>
      </c>
      <c r="E39" s="12">
        <v>15</v>
      </c>
      <c r="F39" s="8">
        <v>0.67</v>
      </c>
      <c r="G39" s="12">
        <v>175</v>
      </c>
      <c r="H39" s="8">
        <v>4.6500000000000004</v>
      </c>
      <c r="I39" s="12">
        <v>0</v>
      </c>
    </row>
    <row r="40" spans="2:9" ht="15" customHeight="1" x14ac:dyDescent="0.15">
      <c r="B40" t="s">
        <v>102</v>
      </c>
      <c r="C40" s="12">
        <v>170</v>
      </c>
      <c r="D40" s="8">
        <v>2.83</v>
      </c>
      <c r="E40" s="12">
        <v>105</v>
      </c>
      <c r="F40" s="8">
        <v>4.71</v>
      </c>
      <c r="G40" s="12">
        <v>65</v>
      </c>
      <c r="H40" s="8">
        <v>1.73</v>
      </c>
      <c r="I40" s="12">
        <v>0</v>
      </c>
    </row>
    <row r="41" spans="2:9" ht="15" customHeight="1" x14ac:dyDescent="0.15">
      <c r="B41" t="s">
        <v>95</v>
      </c>
      <c r="C41" s="12">
        <v>150</v>
      </c>
      <c r="D41" s="8">
        <v>2.5</v>
      </c>
      <c r="E41" s="12">
        <v>11</v>
      </c>
      <c r="F41" s="8">
        <v>0.49</v>
      </c>
      <c r="G41" s="12">
        <v>139</v>
      </c>
      <c r="H41" s="8">
        <v>3.69</v>
      </c>
      <c r="I41" s="12">
        <v>0</v>
      </c>
    </row>
    <row r="42" spans="2:9" ht="15" customHeight="1" x14ac:dyDescent="0.15">
      <c r="B42" t="s">
        <v>89</v>
      </c>
      <c r="C42" s="12">
        <v>148</v>
      </c>
      <c r="D42" s="8">
        <v>2.4700000000000002</v>
      </c>
      <c r="E42" s="12">
        <v>13</v>
      </c>
      <c r="F42" s="8">
        <v>0.57999999999999996</v>
      </c>
      <c r="G42" s="12">
        <v>135</v>
      </c>
      <c r="H42" s="8">
        <v>3.59</v>
      </c>
      <c r="I42" s="12">
        <v>0</v>
      </c>
    </row>
    <row r="43" spans="2:9" ht="15" customHeight="1" x14ac:dyDescent="0.15">
      <c r="B43" t="s">
        <v>98</v>
      </c>
      <c r="C43" s="12">
        <v>139</v>
      </c>
      <c r="D43" s="8">
        <v>2.3199999999999998</v>
      </c>
      <c r="E43" s="12">
        <v>31</v>
      </c>
      <c r="F43" s="8">
        <v>1.39</v>
      </c>
      <c r="G43" s="12">
        <v>108</v>
      </c>
      <c r="H43" s="8">
        <v>2.87</v>
      </c>
      <c r="I43" s="12">
        <v>0</v>
      </c>
    </row>
    <row r="44" spans="2:9" ht="15" customHeight="1" x14ac:dyDescent="0.15">
      <c r="B44" t="s">
        <v>90</v>
      </c>
      <c r="C44" s="12">
        <v>138</v>
      </c>
      <c r="D44" s="8">
        <v>2.2999999999999998</v>
      </c>
      <c r="E44" s="12">
        <v>2</v>
      </c>
      <c r="F44" s="8">
        <v>0.09</v>
      </c>
      <c r="G44" s="12">
        <v>136</v>
      </c>
      <c r="H44" s="8">
        <v>3.61</v>
      </c>
      <c r="I44" s="12">
        <v>0</v>
      </c>
    </row>
    <row r="45" spans="2:9" ht="15" customHeight="1" x14ac:dyDescent="0.15">
      <c r="B45" t="s">
        <v>91</v>
      </c>
      <c r="C45" s="12">
        <v>138</v>
      </c>
      <c r="D45" s="8">
        <v>2.2999999999999998</v>
      </c>
      <c r="E45" s="12">
        <v>41</v>
      </c>
      <c r="F45" s="8">
        <v>1.84</v>
      </c>
      <c r="G45" s="12">
        <v>97</v>
      </c>
      <c r="H45" s="8">
        <v>2.58</v>
      </c>
      <c r="I45" s="12">
        <v>0</v>
      </c>
    </row>
    <row r="46" spans="2:9" ht="15" customHeight="1" x14ac:dyDescent="0.15">
      <c r="B46" t="s">
        <v>93</v>
      </c>
      <c r="C46" s="12">
        <v>124</v>
      </c>
      <c r="D46" s="8">
        <v>2.0699999999999998</v>
      </c>
      <c r="E46" s="12">
        <v>34</v>
      </c>
      <c r="F46" s="8">
        <v>1.53</v>
      </c>
      <c r="G46" s="12">
        <v>90</v>
      </c>
      <c r="H46" s="8">
        <v>2.39</v>
      </c>
      <c r="I46" s="12">
        <v>0</v>
      </c>
    </row>
    <row r="47" spans="2:9" ht="15" customHeight="1" x14ac:dyDescent="0.15">
      <c r="B47" t="s">
        <v>104</v>
      </c>
      <c r="C47" s="12">
        <v>84</v>
      </c>
      <c r="D47" s="8">
        <v>1.4</v>
      </c>
      <c r="E47" s="12">
        <v>5</v>
      </c>
      <c r="F47" s="8">
        <v>0.22</v>
      </c>
      <c r="G47" s="12">
        <v>79</v>
      </c>
      <c r="H47" s="8">
        <v>2.1</v>
      </c>
      <c r="I47" s="12">
        <v>0</v>
      </c>
    </row>
    <row r="48" spans="2:9" ht="15" customHeight="1" x14ac:dyDescent="0.15">
      <c r="B48" t="s">
        <v>109</v>
      </c>
      <c r="C48" s="12">
        <v>71</v>
      </c>
      <c r="D48" s="8">
        <v>1.18</v>
      </c>
      <c r="E48" s="12">
        <v>0</v>
      </c>
      <c r="F48" s="8">
        <v>0</v>
      </c>
      <c r="G48" s="12">
        <v>71</v>
      </c>
      <c r="H48" s="8">
        <v>1.89</v>
      </c>
      <c r="I48" s="12">
        <v>0</v>
      </c>
    </row>
    <row r="49" spans="2:9" ht="15" customHeight="1" x14ac:dyDescent="0.15">
      <c r="B49" t="s">
        <v>105</v>
      </c>
      <c r="C49" s="12">
        <v>71</v>
      </c>
      <c r="D49" s="8">
        <v>1.18</v>
      </c>
      <c r="E49" s="12">
        <v>5</v>
      </c>
      <c r="F49" s="8">
        <v>0.22</v>
      </c>
      <c r="G49" s="12">
        <v>66</v>
      </c>
      <c r="H49" s="8">
        <v>1.75</v>
      </c>
      <c r="I49" s="12">
        <v>0</v>
      </c>
    </row>
    <row r="52" spans="2:9" ht="33" customHeight="1" x14ac:dyDescent="0.15">
      <c r="B52" t="s">
        <v>260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620</v>
      </c>
      <c r="D53" s="8">
        <v>10.34</v>
      </c>
      <c r="E53" s="12">
        <v>425</v>
      </c>
      <c r="F53" s="8">
        <v>19.07</v>
      </c>
      <c r="G53" s="12">
        <v>195</v>
      </c>
      <c r="H53" s="8">
        <v>5.18</v>
      </c>
      <c r="I53" s="12">
        <v>0</v>
      </c>
    </row>
    <row r="54" spans="2:9" ht="15" customHeight="1" x14ac:dyDescent="0.15">
      <c r="B54" t="s">
        <v>155</v>
      </c>
      <c r="C54" s="12">
        <v>199</v>
      </c>
      <c r="D54" s="8">
        <v>3.32</v>
      </c>
      <c r="E54" s="12">
        <v>153</v>
      </c>
      <c r="F54" s="8">
        <v>6.86</v>
      </c>
      <c r="G54" s="12">
        <v>46</v>
      </c>
      <c r="H54" s="8">
        <v>1.22</v>
      </c>
      <c r="I54" s="12">
        <v>0</v>
      </c>
    </row>
    <row r="55" spans="2:9" ht="15" customHeight="1" x14ac:dyDescent="0.15">
      <c r="B55" t="s">
        <v>149</v>
      </c>
      <c r="C55" s="12">
        <v>164</v>
      </c>
      <c r="D55" s="8">
        <v>2.73</v>
      </c>
      <c r="E55" s="12">
        <v>8</v>
      </c>
      <c r="F55" s="8">
        <v>0.36</v>
      </c>
      <c r="G55" s="12">
        <v>156</v>
      </c>
      <c r="H55" s="8">
        <v>4.1399999999999997</v>
      </c>
      <c r="I55" s="12">
        <v>0</v>
      </c>
    </row>
    <row r="56" spans="2:9" ht="15" customHeight="1" x14ac:dyDescent="0.15">
      <c r="B56" t="s">
        <v>157</v>
      </c>
      <c r="C56" s="12">
        <v>150</v>
      </c>
      <c r="D56" s="8">
        <v>2.5</v>
      </c>
      <c r="E56" s="12">
        <v>116</v>
      </c>
      <c r="F56" s="8">
        <v>5.2</v>
      </c>
      <c r="G56" s="12">
        <v>34</v>
      </c>
      <c r="H56" s="8">
        <v>0.9</v>
      </c>
      <c r="I56" s="12">
        <v>0</v>
      </c>
    </row>
    <row r="57" spans="2:9" ht="15" customHeight="1" x14ac:dyDescent="0.15">
      <c r="B57" t="s">
        <v>151</v>
      </c>
      <c r="C57" s="12">
        <v>137</v>
      </c>
      <c r="D57" s="8">
        <v>2.2799999999999998</v>
      </c>
      <c r="E57" s="12">
        <v>116</v>
      </c>
      <c r="F57" s="8">
        <v>5.2</v>
      </c>
      <c r="G57" s="12">
        <v>21</v>
      </c>
      <c r="H57" s="8">
        <v>0.56000000000000005</v>
      </c>
      <c r="I57" s="12">
        <v>0</v>
      </c>
    </row>
    <row r="58" spans="2:9" ht="15" customHeight="1" x14ac:dyDescent="0.15">
      <c r="B58" t="s">
        <v>147</v>
      </c>
      <c r="C58" s="12">
        <v>136</v>
      </c>
      <c r="D58" s="8">
        <v>2.27</v>
      </c>
      <c r="E58" s="12">
        <v>24</v>
      </c>
      <c r="F58" s="8">
        <v>1.08</v>
      </c>
      <c r="G58" s="12">
        <v>112</v>
      </c>
      <c r="H58" s="8">
        <v>2.97</v>
      </c>
      <c r="I58" s="12">
        <v>0</v>
      </c>
    </row>
    <row r="59" spans="2:9" ht="15" customHeight="1" x14ac:dyDescent="0.15">
      <c r="B59" t="s">
        <v>150</v>
      </c>
      <c r="C59" s="12">
        <v>133</v>
      </c>
      <c r="D59" s="8">
        <v>2.2200000000000002</v>
      </c>
      <c r="E59" s="12">
        <v>100</v>
      </c>
      <c r="F59" s="8">
        <v>4.49</v>
      </c>
      <c r="G59" s="12">
        <v>33</v>
      </c>
      <c r="H59" s="8">
        <v>0.88</v>
      </c>
      <c r="I59" s="12">
        <v>0</v>
      </c>
    </row>
    <row r="60" spans="2:9" ht="15" customHeight="1" x14ac:dyDescent="0.15">
      <c r="B60" t="s">
        <v>145</v>
      </c>
      <c r="C60" s="12">
        <v>130</v>
      </c>
      <c r="D60" s="8">
        <v>2.17</v>
      </c>
      <c r="E60" s="12">
        <v>69</v>
      </c>
      <c r="F60" s="8">
        <v>3.1</v>
      </c>
      <c r="G60" s="12">
        <v>61</v>
      </c>
      <c r="H60" s="8">
        <v>1.62</v>
      </c>
      <c r="I60" s="12">
        <v>0</v>
      </c>
    </row>
    <row r="61" spans="2:9" ht="15" customHeight="1" x14ac:dyDescent="0.15">
      <c r="B61" t="s">
        <v>146</v>
      </c>
      <c r="C61" s="12">
        <v>124</v>
      </c>
      <c r="D61" s="8">
        <v>2.0699999999999998</v>
      </c>
      <c r="E61" s="12">
        <v>11</v>
      </c>
      <c r="F61" s="8">
        <v>0.49</v>
      </c>
      <c r="G61" s="12">
        <v>113</v>
      </c>
      <c r="H61" s="8">
        <v>3</v>
      </c>
      <c r="I61" s="12">
        <v>0</v>
      </c>
    </row>
    <row r="62" spans="2:9" ht="15" customHeight="1" x14ac:dyDescent="0.15">
      <c r="B62" t="s">
        <v>154</v>
      </c>
      <c r="C62" s="12">
        <v>106</v>
      </c>
      <c r="D62" s="8">
        <v>1.77</v>
      </c>
      <c r="E62" s="12">
        <v>93</v>
      </c>
      <c r="F62" s="8">
        <v>4.17</v>
      </c>
      <c r="G62" s="12">
        <v>13</v>
      </c>
      <c r="H62" s="8">
        <v>0.35</v>
      </c>
      <c r="I62" s="12">
        <v>0</v>
      </c>
    </row>
    <row r="63" spans="2:9" ht="15" customHeight="1" x14ac:dyDescent="0.15">
      <c r="B63" t="s">
        <v>156</v>
      </c>
      <c r="C63" s="12">
        <v>106</v>
      </c>
      <c r="D63" s="8">
        <v>1.77</v>
      </c>
      <c r="E63" s="12">
        <v>70</v>
      </c>
      <c r="F63" s="8">
        <v>3.14</v>
      </c>
      <c r="G63" s="12">
        <v>36</v>
      </c>
      <c r="H63" s="8">
        <v>0.96</v>
      </c>
      <c r="I63" s="12">
        <v>0</v>
      </c>
    </row>
    <row r="64" spans="2:9" ht="15" customHeight="1" x14ac:dyDescent="0.15">
      <c r="B64" t="s">
        <v>153</v>
      </c>
      <c r="C64" s="12">
        <v>105</v>
      </c>
      <c r="D64" s="8">
        <v>1.75</v>
      </c>
      <c r="E64" s="12">
        <v>55</v>
      </c>
      <c r="F64" s="8">
        <v>2.4700000000000002</v>
      </c>
      <c r="G64" s="12">
        <v>50</v>
      </c>
      <c r="H64" s="8">
        <v>1.33</v>
      </c>
      <c r="I64" s="12">
        <v>0</v>
      </c>
    </row>
    <row r="65" spans="2:9" ht="15" customHeight="1" x14ac:dyDescent="0.15">
      <c r="B65" t="s">
        <v>152</v>
      </c>
      <c r="C65" s="12">
        <v>99</v>
      </c>
      <c r="D65" s="8">
        <v>1.65</v>
      </c>
      <c r="E65" s="12">
        <v>87</v>
      </c>
      <c r="F65" s="8">
        <v>3.9</v>
      </c>
      <c r="G65" s="12">
        <v>12</v>
      </c>
      <c r="H65" s="8">
        <v>0.32</v>
      </c>
      <c r="I65" s="12">
        <v>0</v>
      </c>
    </row>
    <row r="66" spans="2:9" ht="15" customHeight="1" x14ac:dyDescent="0.15">
      <c r="B66" t="s">
        <v>143</v>
      </c>
      <c r="C66" s="12">
        <v>91</v>
      </c>
      <c r="D66" s="8">
        <v>1.52</v>
      </c>
      <c r="E66" s="12">
        <v>45</v>
      </c>
      <c r="F66" s="8">
        <v>2.02</v>
      </c>
      <c r="G66" s="12">
        <v>46</v>
      </c>
      <c r="H66" s="8">
        <v>1.22</v>
      </c>
      <c r="I66" s="12">
        <v>0</v>
      </c>
    </row>
    <row r="67" spans="2:9" ht="15" customHeight="1" x14ac:dyDescent="0.15">
      <c r="B67" t="s">
        <v>176</v>
      </c>
      <c r="C67" s="12">
        <v>90</v>
      </c>
      <c r="D67" s="8">
        <v>1.5</v>
      </c>
      <c r="E67" s="12">
        <v>18</v>
      </c>
      <c r="F67" s="8">
        <v>0.81</v>
      </c>
      <c r="G67" s="12">
        <v>72</v>
      </c>
      <c r="H67" s="8">
        <v>1.91</v>
      </c>
      <c r="I67" s="12">
        <v>0</v>
      </c>
    </row>
    <row r="68" spans="2:9" ht="15" customHeight="1" x14ac:dyDescent="0.15">
      <c r="B68" t="s">
        <v>141</v>
      </c>
      <c r="C68" s="12">
        <v>80</v>
      </c>
      <c r="D68" s="8">
        <v>1.33</v>
      </c>
      <c r="E68" s="12">
        <v>5</v>
      </c>
      <c r="F68" s="8">
        <v>0.22</v>
      </c>
      <c r="G68" s="12">
        <v>75</v>
      </c>
      <c r="H68" s="8">
        <v>1.99</v>
      </c>
      <c r="I68" s="12">
        <v>0</v>
      </c>
    </row>
    <row r="69" spans="2:9" ht="15" customHeight="1" x14ac:dyDescent="0.15">
      <c r="B69" t="s">
        <v>163</v>
      </c>
      <c r="C69" s="12">
        <v>80</v>
      </c>
      <c r="D69" s="8">
        <v>1.33</v>
      </c>
      <c r="E69" s="12">
        <v>74</v>
      </c>
      <c r="F69" s="8">
        <v>3.32</v>
      </c>
      <c r="G69" s="12">
        <v>6</v>
      </c>
      <c r="H69" s="8">
        <v>0.16</v>
      </c>
      <c r="I69" s="12">
        <v>0</v>
      </c>
    </row>
    <row r="70" spans="2:9" ht="15" customHeight="1" x14ac:dyDescent="0.15">
      <c r="B70" t="s">
        <v>140</v>
      </c>
      <c r="C70" s="12">
        <v>72</v>
      </c>
      <c r="D70" s="8">
        <v>1.2</v>
      </c>
      <c r="E70" s="12">
        <v>9</v>
      </c>
      <c r="F70" s="8">
        <v>0.4</v>
      </c>
      <c r="G70" s="12">
        <v>63</v>
      </c>
      <c r="H70" s="8">
        <v>1.67</v>
      </c>
      <c r="I70" s="12">
        <v>0</v>
      </c>
    </row>
    <row r="71" spans="2:9" ht="15" customHeight="1" x14ac:dyDescent="0.15">
      <c r="B71" t="s">
        <v>177</v>
      </c>
      <c r="C71" s="12">
        <v>72</v>
      </c>
      <c r="D71" s="8">
        <v>1.2</v>
      </c>
      <c r="E71" s="12">
        <v>6</v>
      </c>
      <c r="F71" s="8">
        <v>0.27</v>
      </c>
      <c r="G71" s="12">
        <v>66</v>
      </c>
      <c r="H71" s="8">
        <v>1.75</v>
      </c>
      <c r="I71" s="12">
        <v>0</v>
      </c>
    </row>
    <row r="72" spans="2:9" ht="15" customHeight="1" x14ac:dyDescent="0.15">
      <c r="B72" t="s">
        <v>144</v>
      </c>
      <c r="C72" s="12">
        <v>71</v>
      </c>
      <c r="D72" s="8">
        <v>1.18</v>
      </c>
      <c r="E72" s="12">
        <v>25</v>
      </c>
      <c r="F72" s="8">
        <v>1.1200000000000001</v>
      </c>
      <c r="G72" s="12">
        <v>46</v>
      </c>
      <c r="H72" s="8">
        <v>1.22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559</v>
      </c>
      <c r="D6" s="8">
        <v>18.53</v>
      </c>
      <c r="E6" s="12">
        <v>70</v>
      </c>
      <c r="F6" s="8">
        <v>6.33</v>
      </c>
      <c r="G6" s="12">
        <v>489</v>
      </c>
      <c r="H6" s="8">
        <v>25.67</v>
      </c>
      <c r="I6" s="12">
        <v>0</v>
      </c>
    </row>
    <row r="7" spans="2:9" ht="15" customHeight="1" x14ac:dyDescent="0.15">
      <c r="B7" t="s">
        <v>64</v>
      </c>
      <c r="C7" s="12">
        <v>179</v>
      </c>
      <c r="D7" s="8">
        <v>5.94</v>
      </c>
      <c r="E7" s="12">
        <v>35</v>
      </c>
      <c r="F7" s="8">
        <v>3.16</v>
      </c>
      <c r="G7" s="12">
        <v>144</v>
      </c>
      <c r="H7" s="8">
        <v>7.56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37</v>
      </c>
      <c r="D9" s="8">
        <v>1.23</v>
      </c>
      <c r="E9" s="12">
        <v>2</v>
      </c>
      <c r="F9" s="8">
        <v>0.18</v>
      </c>
      <c r="G9" s="12">
        <v>35</v>
      </c>
      <c r="H9" s="8">
        <v>1.84</v>
      </c>
      <c r="I9" s="12">
        <v>0</v>
      </c>
    </row>
    <row r="10" spans="2:9" ht="15" customHeight="1" x14ac:dyDescent="0.15">
      <c r="B10" t="s">
        <v>67</v>
      </c>
      <c r="C10" s="12">
        <v>26</v>
      </c>
      <c r="D10" s="8">
        <v>0.86</v>
      </c>
      <c r="E10" s="12">
        <v>14</v>
      </c>
      <c r="F10" s="8">
        <v>1.27</v>
      </c>
      <c r="G10" s="12">
        <v>12</v>
      </c>
      <c r="H10" s="8">
        <v>0.63</v>
      </c>
      <c r="I10" s="12">
        <v>0</v>
      </c>
    </row>
    <row r="11" spans="2:9" ht="15" customHeight="1" x14ac:dyDescent="0.15">
      <c r="B11" t="s">
        <v>68</v>
      </c>
      <c r="C11" s="12">
        <v>620</v>
      </c>
      <c r="D11" s="8">
        <v>20.56</v>
      </c>
      <c r="E11" s="12">
        <v>157</v>
      </c>
      <c r="F11" s="8">
        <v>14.2</v>
      </c>
      <c r="G11" s="12">
        <v>462</v>
      </c>
      <c r="H11" s="8">
        <v>24.25</v>
      </c>
      <c r="I11" s="12">
        <v>1</v>
      </c>
    </row>
    <row r="12" spans="2:9" ht="15" customHeight="1" x14ac:dyDescent="0.15">
      <c r="B12" t="s">
        <v>69</v>
      </c>
      <c r="C12" s="12">
        <v>24</v>
      </c>
      <c r="D12" s="8">
        <v>0.8</v>
      </c>
      <c r="E12" s="12">
        <v>3</v>
      </c>
      <c r="F12" s="8">
        <v>0.27</v>
      </c>
      <c r="G12" s="12">
        <v>21</v>
      </c>
      <c r="H12" s="8">
        <v>1.1000000000000001</v>
      </c>
      <c r="I12" s="12">
        <v>0</v>
      </c>
    </row>
    <row r="13" spans="2:9" ht="15" customHeight="1" x14ac:dyDescent="0.15">
      <c r="B13" t="s">
        <v>70</v>
      </c>
      <c r="C13" s="12">
        <v>332</v>
      </c>
      <c r="D13" s="8">
        <v>11.01</v>
      </c>
      <c r="E13" s="12">
        <v>55</v>
      </c>
      <c r="F13" s="8">
        <v>4.97</v>
      </c>
      <c r="G13" s="12">
        <v>276</v>
      </c>
      <c r="H13" s="8">
        <v>14.49</v>
      </c>
      <c r="I13" s="12">
        <v>1</v>
      </c>
    </row>
    <row r="14" spans="2:9" ht="15" customHeight="1" x14ac:dyDescent="0.15">
      <c r="B14" t="s">
        <v>71</v>
      </c>
      <c r="C14" s="12">
        <v>169</v>
      </c>
      <c r="D14" s="8">
        <v>5.6</v>
      </c>
      <c r="E14" s="12">
        <v>67</v>
      </c>
      <c r="F14" s="8">
        <v>6.06</v>
      </c>
      <c r="G14" s="12">
        <v>102</v>
      </c>
      <c r="H14" s="8">
        <v>5.35</v>
      </c>
      <c r="I14" s="12">
        <v>0</v>
      </c>
    </row>
    <row r="15" spans="2:9" ht="15" customHeight="1" x14ac:dyDescent="0.15">
      <c r="B15" t="s">
        <v>72</v>
      </c>
      <c r="C15" s="12">
        <v>274</v>
      </c>
      <c r="D15" s="8">
        <v>9.08</v>
      </c>
      <c r="E15" s="12">
        <v>209</v>
      </c>
      <c r="F15" s="8">
        <v>18.899999999999999</v>
      </c>
      <c r="G15" s="12">
        <v>65</v>
      </c>
      <c r="H15" s="8">
        <v>3.41</v>
      </c>
      <c r="I15" s="12">
        <v>0</v>
      </c>
    </row>
    <row r="16" spans="2:9" ht="15" customHeight="1" x14ac:dyDescent="0.15">
      <c r="B16" t="s">
        <v>73</v>
      </c>
      <c r="C16" s="12">
        <v>406</v>
      </c>
      <c r="D16" s="8">
        <v>13.46</v>
      </c>
      <c r="E16" s="12">
        <v>283</v>
      </c>
      <c r="F16" s="8">
        <v>25.59</v>
      </c>
      <c r="G16" s="12">
        <v>123</v>
      </c>
      <c r="H16" s="8">
        <v>6.46</v>
      </c>
      <c r="I16" s="12">
        <v>0</v>
      </c>
    </row>
    <row r="17" spans="2:9" ht="15" customHeight="1" x14ac:dyDescent="0.15">
      <c r="B17" t="s">
        <v>74</v>
      </c>
      <c r="C17" s="12">
        <v>151</v>
      </c>
      <c r="D17" s="8">
        <v>5.01</v>
      </c>
      <c r="E17" s="12">
        <v>101</v>
      </c>
      <c r="F17" s="8">
        <v>9.1300000000000008</v>
      </c>
      <c r="G17" s="12">
        <v>50</v>
      </c>
      <c r="H17" s="8">
        <v>2.62</v>
      </c>
      <c r="I17" s="12">
        <v>0</v>
      </c>
    </row>
    <row r="18" spans="2:9" ht="15" customHeight="1" x14ac:dyDescent="0.15">
      <c r="B18" t="s">
        <v>75</v>
      </c>
      <c r="C18" s="12">
        <v>156</v>
      </c>
      <c r="D18" s="8">
        <v>5.17</v>
      </c>
      <c r="E18" s="12">
        <v>96</v>
      </c>
      <c r="F18" s="8">
        <v>8.68</v>
      </c>
      <c r="G18" s="12">
        <v>57</v>
      </c>
      <c r="H18" s="8">
        <v>2.99</v>
      </c>
      <c r="I18" s="12">
        <v>3</v>
      </c>
    </row>
    <row r="19" spans="2:9" ht="15" customHeight="1" x14ac:dyDescent="0.15">
      <c r="B19" t="s">
        <v>76</v>
      </c>
      <c r="C19" s="12">
        <v>83</v>
      </c>
      <c r="D19" s="8">
        <v>2.75</v>
      </c>
      <c r="E19" s="12">
        <v>14</v>
      </c>
      <c r="F19" s="8">
        <v>1.27</v>
      </c>
      <c r="G19" s="12">
        <v>69</v>
      </c>
      <c r="H19" s="8">
        <v>3.62</v>
      </c>
      <c r="I19" s="12">
        <v>0</v>
      </c>
    </row>
    <row r="20" spans="2:9" ht="15" customHeight="1" x14ac:dyDescent="0.15">
      <c r="B20" s="9" t="s">
        <v>216</v>
      </c>
      <c r="C20" s="12">
        <f>SUM(LTBL_14110[総数／事業所数])</f>
        <v>3016</v>
      </c>
      <c r="E20" s="12">
        <f>SUBTOTAL(109,LTBL_14110[個人／事業所数])</f>
        <v>1106</v>
      </c>
      <c r="G20" s="12">
        <f>SUBTOTAL(109,LTBL_14110[法人／事業所数])</f>
        <v>1905</v>
      </c>
      <c r="I20" s="12">
        <f>SUBTOTAL(109,LTBL_14110[法人以外の団体／事業所数])</f>
        <v>5</v>
      </c>
    </row>
    <row r="21" spans="2:9" ht="15" customHeight="1" x14ac:dyDescent="0.15">
      <c r="E21" s="11">
        <f>LTBL_14110[[#Totals],[個人／事業所数]]/LTBL_14110[[#Totals],[総数／事業所数]]</f>
        <v>0.36671087533156499</v>
      </c>
      <c r="G21" s="11">
        <f>LTBL_14110[[#Totals],[法人／事業所数]]/LTBL_14110[[#Totals],[総数／事業所数]]</f>
        <v>0.63163129973474796</v>
      </c>
      <c r="I21" s="11">
        <f>LTBL_14110[[#Totals],[法人以外の団体／事業所数]]/LTBL_14110[[#Totals],[総数／事業所数]]</f>
        <v>1.6578249336870027E-3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262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14</v>
      </c>
      <c r="D24" t="s">
        <v>217</v>
      </c>
      <c r="E24">
        <v>0</v>
      </c>
      <c r="F24" t="s">
        <v>219</v>
      </c>
      <c r="G24">
        <v>14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337</v>
      </c>
      <c r="D29" s="8">
        <v>11.17</v>
      </c>
      <c r="E29" s="12">
        <v>252</v>
      </c>
      <c r="F29" s="8">
        <v>22.78</v>
      </c>
      <c r="G29" s="12">
        <v>85</v>
      </c>
      <c r="H29" s="8">
        <v>4.46</v>
      </c>
      <c r="I29" s="12">
        <v>0</v>
      </c>
    </row>
    <row r="30" spans="2:9" ht="15" customHeight="1" x14ac:dyDescent="0.15">
      <c r="B30" t="s">
        <v>99</v>
      </c>
      <c r="C30" s="12">
        <v>250</v>
      </c>
      <c r="D30" s="8">
        <v>8.2899999999999991</v>
      </c>
      <c r="E30" s="12">
        <v>204</v>
      </c>
      <c r="F30" s="8">
        <v>18.440000000000001</v>
      </c>
      <c r="G30" s="12">
        <v>46</v>
      </c>
      <c r="H30" s="8">
        <v>2.41</v>
      </c>
      <c r="I30" s="12">
        <v>0</v>
      </c>
    </row>
    <row r="31" spans="2:9" ht="15" customHeight="1" x14ac:dyDescent="0.15">
      <c r="B31" t="s">
        <v>96</v>
      </c>
      <c r="C31" s="12">
        <v>249</v>
      </c>
      <c r="D31" s="8">
        <v>8.26</v>
      </c>
      <c r="E31" s="12">
        <v>49</v>
      </c>
      <c r="F31" s="8">
        <v>4.43</v>
      </c>
      <c r="G31" s="12">
        <v>199</v>
      </c>
      <c r="H31" s="8">
        <v>10.45</v>
      </c>
      <c r="I31" s="12">
        <v>1</v>
      </c>
    </row>
    <row r="32" spans="2:9" ht="15" customHeight="1" x14ac:dyDescent="0.15">
      <c r="B32" t="s">
        <v>85</v>
      </c>
      <c r="C32" s="12">
        <v>223</v>
      </c>
      <c r="D32" s="8">
        <v>7.39</v>
      </c>
      <c r="E32" s="12">
        <v>23</v>
      </c>
      <c r="F32" s="8">
        <v>2.08</v>
      </c>
      <c r="G32" s="12">
        <v>200</v>
      </c>
      <c r="H32" s="8">
        <v>10.5</v>
      </c>
      <c r="I32" s="12">
        <v>0</v>
      </c>
    </row>
    <row r="33" spans="2:9" ht="15" customHeight="1" x14ac:dyDescent="0.15">
      <c r="B33" t="s">
        <v>86</v>
      </c>
      <c r="C33" s="12">
        <v>185</v>
      </c>
      <c r="D33" s="8">
        <v>6.13</v>
      </c>
      <c r="E33" s="12">
        <v>33</v>
      </c>
      <c r="F33" s="8">
        <v>2.98</v>
      </c>
      <c r="G33" s="12">
        <v>152</v>
      </c>
      <c r="H33" s="8">
        <v>7.98</v>
      </c>
      <c r="I33" s="12">
        <v>0</v>
      </c>
    </row>
    <row r="34" spans="2:9" ht="15" customHeight="1" x14ac:dyDescent="0.15">
      <c r="B34" t="s">
        <v>94</v>
      </c>
      <c r="C34" s="12">
        <v>174</v>
      </c>
      <c r="D34" s="8">
        <v>5.77</v>
      </c>
      <c r="E34" s="12">
        <v>53</v>
      </c>
      <c r="F34" s="8">
        <v>4.79</v>
      </c>
      <c r="G34" s="12">
        <v>121</v>
      </c>
      <c r="H34" s="8">
        <v>6.35</v>
      </c>
      <c r="I34" s="12">
        <v>0</v>
      </c>
    </row>
    <row r="35" spans="2:9" ht="15" customHeight="1" x14ac:dyDescent="0.15">
      <c r="B35" t="s">
        <v>87</v>
      </c>
      <c r="C35" s="12">
        <v>151</v>
      </c>
      <c r="D35" s="8">
        <v>5.01</v>
      </c>
      <c r="E35" s="12">
        <v>14</v>
      </c>
      <c r="F35" s="8">
        <v>1.27</v>
      </c>
      <c r="G35" s="12">
        <v>137</v>
      </c>
      <c r="H35" s="8">
        <v>7.19</v>
      </c>
      <c r="I35" s="12">
        <v>0</v>
      </c>
    </row>
    <row r="36" spans="2:9" ht="15" customHeight="1" x14ac:dyDescent="0.15">
      <c r="B36" t="s">
        <v>102</v>
      </c>
      <c r="C36" s="12">
        <v>151</v>
      </c>
      <c r="D36" s="8">
        <v>5.01</v>
      </c>
      <c r="E36" s="12">
        <v>101</v>
      </c>
      <c r="F36" s="8">
        <v>9.1300000000000008</v>
      </c>
      <c r="G36" s="12">
        <v>50</v>
      </c>
      <c r="H36" s="8">
        <v>2.62</v>
      </c>
      <c r="I36" s="12">
        <v>0</v>
      </c>
    </row>
    <row r="37" spans="2:9" ht="15" customHeight="1" x14ac:dyDescent="0.15">
      <c r="B37" t="s">
        <v>103</v>
      </c>
      <c r="C37" s="12">
        <v>116</v>
      </c>
      <c r="D37" s="8">
        <v>3.85</v>
      </c>
      <c r="E37" s="12">
        <v>95</v>
      </c>
      <c r="F37" s="8">
        <v>8.59</v>
      </c>
      <c r="G37" s="12">
        <v>20</v>
      </c>
      <c r="H37" s="8">
        <v>1.05</v>
      </c>
      <c r="I37" s="12">
        <v>1</v>
      </c>
    </row>
    <row r="38" spans="2:9" ht="15" customHeight="1" x14ac:dyDescent="0.15">
      <c r="B38" t="s">
        <v>92</v>
      </c>
      <c r="C38" s="12">
        <v>109</v>
      </c>
      <c r="D38" s="8">
        <v>3.61</v>
      </c>
      <c r="E38" s="12">
        <v>49</v>
      </c>
      <c r="F38" s="8">
        <v>4.43</v>
      </c>
      <c r="G38" s="12">
        <v>60</v>
      </c>
      <c r="H38" s="8">
        <v>3.15</v>
      </c>
      <c r="I38" s="12">
        <v>0</v>
      </c>
    </row>
    <row r="39" spans="2:9" ht="15" customHeight="1" x14ac:dyDescent="0.15">
      <c r="B39" t="s">
        <v>97</v>
      </c>
      <c r="C39" s="12">
        <v>99</v>
      </c>
      <c r="D39" s="8">
        <v>3.28</v>
      </c>
      <c r="E39" s="12">
        <v>55</v>
      </c>
      <c r="F39" s="8">
        <v>4.97</v>
      </c>
      <c r="G39" s="12">
        <v>44</v>
      </c>
      <c r="H39" s="8">
        <v>2.31</v>
      </c>
      <c r="I39" s="12">
        <v>0</v>
      </c>
    </row>
    <row r="40" spans="2:9" ht="15" customHeight="1" x14ac:dyDescent="0.15">
      <c r="B40" t="s">
        <v>91</v>
      </c>
      <c r="C40" s="12">
        <v>85</v>
      </c>
      <c r="D40" s="8">
        <v>2.82</v>
      </c>
      <c r="E40" s="12">
        <v>21</v>
      </c>
      <c r="F40" s="8">
        <v>1.9</v>
      </c>
      <c r="G40" s="12">
        <v>64</v>
      </c>
      <c r="H40" s="8">
        <v>3.36</v>
      </c>
      <c r="I40" s="12">
        <v>0</v>
      </c>
    </row>
    <row r="41" spans="2:9" ht="15" customHeight="1" x14ac:dyDescent="0.15">
      <c r="B41" t="s">
        <v>93</v>
      </c>
      <c r="C41" s="12">
        <v>84</v>
      </c>
      <c r="D41" s="8">
        <v>2.79</v>
      </c>
      <c r="E41" s="12">
        <v>17</v>
      </c>
      <c r="F41" s="8">
        <v>1.54</v>
      </c>
      <c r="G41" s="12">
        <v>67</v>
      </c>
      <c r="H41" s="8">
        <v>3.52</v>
      </c>
      <c r="I41" s="12">
        <v>0</v>
      </c>
    </row>
    <row r="42" spans="2:9" ht="15" customHeight="1" x14ac:dyDescent="0.15">
      <c r="B42" t="s">
        <v>95</v>
      </c>
      <c r="C42" s="12">
        <v>74</v>
      </c>
      <c r="D42" s="8">
        <v>2.4500000000000002</v>
      </c>
      <c r="E42" s="12">
        <v>5</v>
      </c>
      <c r="F42" s="8">
        <v>0.45</v>
      </c>
      <c r="G42" s="12">
        <v>69</v>
      </c>
      <c r="H42" s="8">
        <v>3.62</v>
      </c>
      <c r="I42" s="12">
        <v>0</v>
      </c>
    </row>
    <row r="43" spans="2:9" ht="15" customHeight="1" x14ac:dyDescent="0.15">
      <c r="B43" t="s">
        <v>98</v>
      </c>
      <c r="C43" s="12">
        <v>66</v>
      </c>
      <c r="D43" s="8">
        <v>2.19</v>
      </c>
      <c r="E43" s="12">
        <v>12</v>
      </c>
      <c r="F43" s="8">
        <v>1.08</v>
      </c>
      <c r="G43" s="12">
        <v>54</v>
      </c>
      <c r="H43" s="8">
        <v>2.83</v>
      </c>
      <c r="I43" s="12">
        <v>0</v>
      </c>
    </row>
    <row r="44" spans="2:9" ht="15" customHeight="1" x14ac:dyDescent="0.15">
      <c r="B44" t="s">
        <v>101</v>
      </c>
      <c r="C44" s="12">
        <v>51</v>
      </c>
      <c r="D44" s="8">
        <v>1.69</v>
      </c>
      <c r="E44" s="12">
        <v>19</v>
      </c>
      <c r="F44" s="8">
        <v>1.72</v>
      </c>
      <c r="G44" s="12">
        <v>32</v>
      </c>
      <c r="H44" s="8">
        <v>1.68</v>
      </c>
      <c r="I44" s="12">
        <v>0</v>
      </c>
    </row>
    <row r="45" spans="2:9" ht="15" customHeight="1" x14ac:dyDescent="0.15">
      <c r="B45" t="s">
        <v>90</v>
      </c>
      <c r="C45" s="12">
        <v>46</v>
      </c>
      <c r="D45" s="8">
        <v>1.53</v>
      </c>
      <c r="E45" s="12">
        <v>5</v>
      </c>
      <c r="F45" s="8">
        <v>0.45</v>
      </c>
      <c r="G45" s="12">
        <v>41</v>
      </c>
      <c r="H45" s="8">
        <v>2.15</v>
      </c>
      <c r="I45" s="12">
        <v>0</v>
      </c>
    </row>
    <row r="46" spans="2:9" ht="15" customHeight="1" x14ac:dyDescent="0.15">
      <c r="B46" t="s">
        <v>108</v>
      </c>
      <c r="C46" s="12">
        <v>40</v>
      </c>
      <c r="D46" s="8">
        <v>1.33</v>
      </c>
      <c r="E46" s="12">
        <v>1</v>
      </c>
      <c r="F46" s="8">
        <v>0.09</v>
      </c>
      <c r="G46" s="12">
        <v>37</v>
      </c>
      <c r="H46" s="8">
        <v>1.94</v>
      </c>
      <c r="I46" s="12">
        <v>2</v>
      </c>
    </row>
    <row r="47" spans="2:9" ht="15" customHeight="1" x14ac:dyDescent="0.15">
      <c r="B47" t="s">
        <v>106</v>
      </c>
      <c r="C47" s="12">
        <v>36</v>
      </c>
      <c r="D47" s="8">
        <v>1.19</v>
      </c>
      <c r="E47" s="12">
        <v>1</v>
      </c>
      <c r="F47" s="8">
        <v>0.09</v>
      </c>
      <c r="G47" s="12">
        <v>35</v>
      </c>
      <c r="H47" s="8">
        <v>1.84</v>
      </c>
      <c r="I47" s="12">
        <v>0</v>
      </c>
    </row>
    <row r="48" spans="2:9" ht="15" customHeight="1" x14ac:dyDescent="0.15">
      <c r="B48" t="s">
        <v>104</v>
      </c>
      <c r="C48" s="12">
        <v>35</v>
      </c>
      <c r="D48" s="8">
        <v>1.1599999999999999</v>
      </c>
      <c r="E48" s="12">
        <v>3</v>
      </c>
      <c r="F48" s="8">
        <v>0.27</v>
      </c>
      <c r="G48" s="12">
        <v>32</v>
      </c>
      <c r="H48" s="8">
        <v>1.68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154</v>
      </c>
      <c r="D52" s="8">
        <v>5.1100000000000003</v>
      </c>
      <c r="E52" s="12">
        <v>124</v>
      </c>
      <c r="F52" s="8">
        <v>11.21</v>
      </c>
      <c r="G52" s="12">
        <v>30</v>
      </c>
      <c r="H52" s="8">
        <v>1.57</v>
      </c>
      <c r="I52" s="12">
        <v>0</v>
      </c>
    </row>
    <row r="53" spans="2:9" ht="15" customHeight="1" x14ac:dyDescent="0.15">
      <c r="B53" t="s">
        <v>148</v>
      </c>
      <c r="C53" s="12">
        <v>99</v>
      </c>
      <c r="D53" s="8">
        <v>3.28</v>
      </c>
      <c r="E53" s="12">
        <v>34</v>
      </c>
      <c r="F53" s="8">
        <v>3.07</v>
      </c>
      <c r="G53" s="12">
        <v>65</v>
      </c>
      <c r="H53" s="8">
        <v>3.41</v>
      </c>
      <c r="I53" s="12">
        <v>0</v>
      </c>
    </row>
    <row r="54" spans="2:9" ht="15" customHeight="1" x14ac:dyDescent="0.15">
      <c r="B54" t="s">
        <v>154</v>
      </c>
      <c r="C54" s="12">
        <v>98</v>
      </c>
      <c r="D54" s="8">
        <v>3.25</v>
      </c>
      <c r="E54" s="12">
        <v>87</v>
      </c>
      <c r="F54" s="8">
        <v>7.87</v>
      </c>
      <c r="G54" s="12">
        <v>11</v>
      </c>
      <c r="H54" s="8">
        <v>0.57999999999999996</v>
      </c>
      <c r="I54" s="12">
        <v>0</v>
      </c>
    </row>
    <row r="55" spans="2:9" ht="15" customHeight="1" x14ac:dyDescent="0.15">
      <c r="B55" t="s">
        <v>149</v>
      </c>
      <c r="C55" s="12">
        <v>96</v>
      </c>
      <c r="D55" s="8">
        <v>3.18</v>
      </c>
      <c r="E55" s="12">
        <v>3</v>
      </c>
      <c r="F55" s="8">
        <v>0.27</v>
      </c>
      <c r="G55" s="12">
        <v>92</v>
      </c>
      <c r="H55" s="8">
        <v>4.83</v>
      </c>
      <c r="I55" s="12">
        <v>1</v>
      </c>
    </row>
    <row r="56" spans="2:9" ht="15" customHeight="1" x14ac:dyDescent="0.15">
      <c r="B56" t="s">
        <v>156</v>
      </c>
      <c r="C56" s="12">
        <v>91</v>
      </c>
      <c r="D56" s="8">
        <v>3.02</v>
      </c>
      <c r="E56" s="12">
        <v>68</v>
      </c>
      <c r="F56" s="8">
        <v>6.15</v>
      </c>
      <c r="G56" s="12">
        <v>23</v>
      </c>
      <c r="H56" s="8">
        <v>1.21</v>
      </c>
      <c r="I56" s="12">
        <v>0</v>
      </c>
    </row>
    <row r="57" spans="2:9" ht="15" customHeight="1" x14ac:dyDescent="0.15">
      <c r="B57" t="s">
        <v>151</v>
      </c>
      <c r="C57" s="12">
        <v>74</v>
      </c>
      <c r="D57" s="8">
        <v>2.4500000000000002</v>
      </c>
      <c r="E57" s="12">
        <v>68</v>
      </c>
      <c r="F57" s="8">
        <v>6.15</v>
      </c>
      <c r="G57" s="12">
        <v>6</v>
      </c>
      <c r="H57" s="8">
        <v>0.31</v>
      </c>
      <c r="I57" s="12">
        <v>0</v>
      </c>
    </row>
    <row r="58" spans="2:9" ht="15" customHeight="1" x14ac:dyDescent="0.15">
      <c r="B58" t="s">
        <v>157</v>
      </c>
      <c r="C58" s="12">
        <v>68</v>
      </c>
      <c r="D58" s="8">
        <v>2.25</v>
      </c>
      <c r="E58" s="12">
        <v>54</v>
      </c>
      <c r="F58" s="8">
        <v>4.88</v>
      </c>
      <c r="G58" s="12">
        <v>13</v>
      </c>
      <c r="H58" s="8">
        <v>0.68</v>
      </c>
      <c r="I58" s="12">
        <v>1</v>
      </c>
    </row>
    <row r="59" spans="2:9" ht="15" customHeight="1" x14ac:dyDescent="0.15">
      <c r="B59" t="s">
        <v>138</v>
      </c>
      <c r="C59" s="12">
        <v>67</v>
      </c>
      <c r="D59" s="8">
        <v>2.2200000000000002</v>
      </c>
      <c r="E59" s="12">
        <v>7</v>
      </c>
      <c r="F59" s="8">
        <v>0.63</v>
      </c>
      <c r="G59" s="12">
        <v>60</v>
      </c>
      <c r="H59" s="8">
        <v>3.15</v>
      </c>
      <c r="I59" s="12">
        <v>0</v>
      </c>
    </row>
    <row r="60" spans="2:9" ht="15" customHeight="1" x14ac:dyDescent="0.15">
      <c r="B60" t="s">
        <v>145</v>
      </c>
      <c r="C60" s="12">
        <v>66</v>
      </c>
      <c r="D60" s="8">
        <v>2.19</v>
      </c>
      <c r="E60" s="12">
        <v>25</v>
      </c>
      <c r="F60" s="8">
        <v>2.2599999999999998</v>
      </c>
      <c r="G60" s="12">
        <v>41</v>
      </c>
      <c r="H60" s="8">
        <v>2.15</v>
      </c>
      <c r="I60" s="12">
        <v>0</v>
      </c>
    </row>
    <row r="61" spans="2:9" ht="15" customHeight="1" x14ac:dyDescent="0.15">
      <c r="B61" t="s">
        <v>141</v>
      </c>
      <c r="C61" s="12">
        <v>64</v>
      </c>
      <c r="D61" s="8">
        <v>2.12</v>
      </c>
      <c r="E61" s="12">
        <v>5</v>
      </c>
      <c r="F61" s="8">
        <v>0.45</v>
      </c>
      <c r="G61" s="12">
        <v>59</v>
      </c>
      <c r="H61" s="8">
        <v>3.1</v>
      </c>
      <c r="I61" s="12">
        <v>0</v>
      </c>
    </row>
    <row r="62" spans="2:9" ht="15" customHeight="1" x14ac:dyDescent="0.15">
      <c r="B62" t="s">
        <v>158</v>
      </c>
      <c r="C62" s="12">
        <v>62</v>
      </c>
      <c r="D62" s="8">
        <v>2.06</v>
      </c>
      <c r="E62" s="12">
        <v>9</v>
      </c>
      <c r="F62" s="8">
        <v>0.81</v>
      </c>
      <c r="G62" s="12">
        <v>53</v>
      </c>
      <c r="H62" s="8">
        <v>2.78</v>
      </c>
      <c r="I62" s="12">
        <v>0</v>
      </c>
    </row>
    <row r="63" spans="2:9" ht="15" customHeight="1" x14ac:dyDescent="0.15">
      <c r="B63" t="s">
        <v>150</v>
      </c>
      <c r="C63" s="12">
        <v>62</v>
      </c>
      <c r="D63" s="8">
        <v>2.06</v>
      </c>
      <c r="E63" s="12">
        <v>46</v>
      </c>
      <c r="F63" s="8">
        <v>4.16</v>
      </c>
      <c r="G63" s="12">
        <v>16</v>
      </c>
      <c r="H63" s="8">
        <v>0.84</v>
      </c>
      <c r="I63" s="12">
        <v>0</v>
      </c>
    </row>
    <row r="64" spans="2:9" ht="15" customHeight="1" x14ac:dyDescent="0.15">
      <c r="B64" t="s">
        <v>146</v>
      </c>
      <c r="C64" s="12">
        <v>60</v>
      </c>
      <c r="D64" s="8">
        <v>1.99</v>
      </c>
      <c r="E64" s="12">
        <v>5</v>
      </c>
      <c r="F64" s="8">
        <v>0.45</v>
      </c>
      <c r="G64" s="12">
        <v>55</v>
      </c>
      <c r="H64" s="8">
        <v>2.89</v>
      </c>
      <c r="I64" s="12">
        <v>0</v>
      </c>
    </row>
    <row r="65" spans="2:9" ht="15" customHeight="1" x14ac:dyDescent="0.15">
      <c r="B65" t="s">
        <v>139</v>
      </c>
      <c r="C65" s="12">
        <v>58</v>
      </c>
      <c r="D65" s="8">
        <v>1.92</v>
      </c>
      <c r="E65" s="12">
        <v>4</v>
      </c>
      <c r="F65" s="8">
        <v>0.36</v>
      </c>
      <c r="G65" s="12">
        <v>54</v>
      </c>
      <c r="H65" s="8">
        <v>2.83</v>
      </c>
      <c r="I65" s="12">
        <v>0</v>
      </c>
    </row>
    <row r="66" spans="2:9" ht="15" customHeight="1" x14ac:dyDescent="0.15">
      <c r="B66" t="s">
        <v>175</v>
      </c>
      <c r="C66" s="12">
        <v>58</v>
      </c>
      <c r="D66" s="8">
        <v>1.92</v>
      </c>
      <c r="E66" s="12">
        <v>33</v>
      </c>
      <c r="F66" s="8">
        <v>2.98</v>
      </c>
      <c r="G66" s="12">
        <v>25</v>
      </c>
      <c r="H66" s="8">
        <v>1.31</v>
      </c>
      <c r="I66" s="12">
        <v>0</v>
      </c>
    </row>
    <row r="67" spans="2:9" ht="15" customHeight="1" x14ac:dyDescent="0.15">
      <c r="B67" t="s">
        <v>153</v>
      </c>
      <c r="C67" s="12">
        <v>57</v>
      </c>
      <c r="D67" s="8">
        <v>1.89</v>
      </c>
      <c r="E67" s="12">
        <v>26</v>
      </c>
      <c r="F67" s="8">
        <v>2.35</v>
      </c>
      <c r="G67" s="12">
        <v>31</v>
      </c>
      <c r="H67" s="8">
        <v>1.63</v>
      </c>
      <c r="I67" s="12">
        <v>0</v>
      </c>
    </row>
    <row r="68" spans="2:9" ht="15" customHeight="1" x14ac:dyDescent="0.15">
      <c r="B68" t="s">
        <v>144</v>
      </c>
      <c r="C68" s="12">
        <v>56</v>
      </c>
      <c r="D68" s="8">
        <v>1.86</v>
      </c>
      <c r="E68" s="12">
        <v>10</v>
      </c>
      <c r="F68" s="8">
        <v>0.9</v>
      </c>
      <c r="G68" s="12">
        <v>46</v>
      </c>
      <c r="H68" s="8">
        <v>2.41</v>
      </c>
      <c r="I68" s="12">
        <v>0</v>
      </c>
    </row>
    <row r="69" spans="2:9" ht="15" customHeight="1" x14ac:dyDescent="0.15">
      <c r="B69" t="s">
        <v>140</v>
      </c>
      <c r="C69" s="12">
        <v>55</v>
      </c>
      <c r="D69" s="8">
        <v>1.82</v>
      </c>
      <c r="E69" s="12">
        <v>9</v>
      </c>
      <c r="F69" s="8">
        <v>0.81</v>
      </c>
      <c r="G69" s="12">
        <v>46</v>
      </c>
      <c r="H69" s="8">
        <v>2.41</v>
      </c>
      <c r="I69" s="12">
        <v>0</v>
      </c>
    </row>
    <row r="70" spans="2:9" ht="15" customHeight="1" x14ac:dyDescent="0.15">
      <c r="B70" t="s">
        <v>152</v>
      </c>
      <c r="C70" s="12">
        <v>55</v>
      </c>
      <c r="D70" s="8">
        <v>1.82</v>
      </c>
      <c r="E70" s="12">
        <v>47</v>
      </c>
      <c r="F70" s="8">
        <v>4.25</v>
      </c>
      <c r="G70" s="12">
        <v>8</v>
      </c>
      <c r="H70" s="8">
        <v>0.42</v>
      </c>
      <c r="I70" s="12">
        <v>0</v>
      </c>
    </row>
    <row r="71" spans="2:9" ht="15" customHeight="1" x14ac:dyDescent="0.15">
      <c r="B71" t="s">
        <v>142</v>
      </c>
      <c r="C71" s="12">
        <v>45</v>
      </c>
      <c r="D71" s="8">
        <v>1.49</v>
      </c>
      <c r="E71" s="12">
        <v>10</v>
      </c>
      <c r="F71" s="8">
        <v>0.9</v>
      </c>
      <c r="G71" s="12">
        <v>35</v>
      </c>
      <c r="H71" s="8">
        <v>1.84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512</v>
      </c>
      <c r="D6" s="8">
        <v>15.88</v>
      </c>
      <c r="E6" s="12">
        <v>65</v>
      </c>
      <c r="F6" s="8">
        <v>4.43</v>
      </c>
      <c r="G6" s="12">
        <v>447</v>
      </c>
      <c r="H6" s="8">
        <v>25.46</v>
      </c>
      <c r="I6" s="12">
        <v>0</v>
      </c>
    </row>
    <row r="7" spans="2:9" ht="15" customHeight="1" x14ac:dyDescent="0.15">
      <c r="B7" t="s">
        <v>64</v>
      </c>
      <c r="C7" s="12">
        <v>115</v>
      </c>
      <c r="D7" s="8">
        <v>3.57</v>
      </c>
      <c r="E7" s="12">
        <v>21</v>
      </c>
      <c r="F7" s="8">
        <v>1.43</v>
      </c>
      <c r="G7" s="12">
        <v>94</v>
      </c>
      <c r="H7" s="8">
        <v>5.35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35</v>
      </c>
      <c r="D9" s="8">
        <v>1.0900000000000001</v>
      </c>
      <c r="E9" s="12">
        <v>1</v>
      </c>
      <c r="F9" s="8">
        <v>7.0000000000000007E-2</v>
      </c>
      <c r="G9" s="12">
        <v>34</v>
      </c>
      <c r="H9" s="8">
        <v>1.94</v>
      </c>
      <c r="I9" s="12">
        <v>0</v>
      </c>
    </row>
    <row r="10" spans="2:9" ht="15" customHeight="1" x14ac:dyDescent="0.15">
      <c r="B10" t="s">
        <v>67</v>
      </c>
      <c r="C10" s="12">
        <v>37</v>
      </c>
      <c r="D10" s="8">
        <v>1.1499999999999999</v>
      </c>
      <c r="E10" s="12">
        <v>27</v>
      </c>
      <c r="F10" s="8">
        <v>1.84</v>
      </c>
      <c r="G10" s="12">
        <v>10</v>
      </c>
      <c r="H10" s="8">
        <v>0.56999999999999995</v>
      </c>
      <c r="I10" s="12">
        <v>0</v>
      </c>
    </row>
    <row r="11" spans="2:9" ht="15" customHeight="1" x14ac:dyDescent="0.15">
      <c r="B11" t="s">
        <v>68</v>
      </c>
      <c r="C11" s="12">
        <v>574</v>
      </c>
      <c r="D11" s="8">
        <v>17.8</v>
      </c>
      <c r="E11" s="12">
        <v>189</v>
      </c>
      <c r="F11" s="8">
        <v>12.88</v>
      </c>
      <c r="G11" s="12">
        <v>385</v>
      </c>
      <c r="H11" s="8">
        <v>21.92</v>
      </c>
      <c r="I11" s="12">
        <v>0</v>
      </c>
    </row>
    <row r="12" spans="2:9" ht="15" customHeight="1" x14ac:dyDescent="0.15">
      <c r="B12" t="s">
        <v>69</v>
      </c>
      <c r="C12" s="12">
        <v>36</v>
      </c>
      <c r="D12" s="8">
        <v>1.1200000000000001</v>
      </c>
      <c r="E12" s="12">
        <v>4</v>
      </c>
      <c r="F12" s="8">
        <v>0.27</v>
      </c>
      <c r="G12" s="12">
        <v>32</v>
      </c>
      <c r="H12" s="8">
        <v>1.82</v>
      </c>
      <c r="I12" s="12">
        <v>0</v>
      </c>
    </row>
    <row r="13" spans="2:9" ht="15" customHeight="1" x14ac:dyDescent="0.15">
      <c r="B13" t="s">
        <v>70</v>
      </c>
      <c r="C13" s="12">
        <v>573</v>
      </c>
      <c r="D13" s="8">
        <v>17.77</v>
      </c>
      <c r="E13" s="12">
        <v>290</v>
      </c>
      <c r="F13" s="8">
        <v>19.77</v>
      </c>
      <c r="G13" s="12">
        <v>283</v>
      </c>
      <c r="H13" s="8">
        <v>16.12</v>
      </c>
      <c r="I13" s="12">
        <v>0</v>
      </c>
    </row>
    <row r="14" spans="2:9" ht="15" customHeight="1" x14ac:dyDescent="0.15">
      <c r="B14" t="s">
        <v>71</v>
      </c>
      <c r="C14" s="12">
        <v>189</v>
      </c>
      <c r="D14" s="8">
        <v>5.86</v>
      </c>
      <c r="E14" s="12">
        <v>85</v>
      </c>
      <c r="F14" s="8">
        <v>5.79</v>
      </c>
      <c r="G14" s="12">
        <v>104</v>
      </c>
      <c r="H14" s="8">
        <v>5.92</v>
      </c>
      <c r="I14" s="12">
        <v>0</v>
      </c>
    </row>
    <row r="15" spans="2:9" ht="15" customHeight="1" x14ac:dyDescent="0.15">
      <c r="B15" t="s">
        <v>72</v>
      </c>
      <c r="C15" s="12">
        <v>320</v>
      </c>
      <c r="D15" s="8">
        <v>9.93</v>
      </c>
      <c r="E15" s="12">
        <v>250</v>
      </c>
      <c r="F15" s="8">
        <v>17.04</v>
      </c>
      <c r="G15" s="12">
        <v>70</v>
      </c>
      <c r="H15" s="8">
        <v>3.99</v>
      </c>
      <c r="I15" s="12">
        <v>0</v>
      </c>
    </row>
    <row r="16" spans="2:9" ht="15" customHeight="1" x14ac:dyDescent="0.15">
      <c r="B16" t="s">
        <v>73</v>
      </c>
      <c r="C16" s="12">
        <v>422</v>
      </c>
      <c r="D16" s="8">
        <v>13.09</v>
      </c>
      <c r="E16" s="12">
        <v>289</v>
      </c>
      <c r="F16" s="8">
        <v>19.7</v>
      </c>
      <c r="G16" s="12">
        <v>133</v>
      </c>
      <c r="H16" s="8">
        <v>7.57</v>
      </c>
      <c r="I16" s="12">
        <v>0</v>
      </c>
    </row>
    <row r="17" spans="2:9" ht="15" customHeight="1" x14ac:dyDescent="0.15">
      <c r="B17" t="s">
        <v>74</v>
      </c>
      <c r="C17" s="12">
        <v>166</v>
      </c>
      <c r="D17" s="8">
        <v>5.15</v>
      </c>
      <c r="E17" s="12">
        <v>112</v>
      </c>
      <c r="F17" s="8">
        <v>7.63</v>
      </c>
      <c r="G17" s="12">
        <v>54</v>
      </c>
      <c r="H17" s="8">
        <v>3.08</v>
      </c>
      <c r="I17" s="12">
        <v>0</v>
      </c>
    </row>
    <row r="18" spans="2:9" ht="15" customHeight="1" x14ac:dyDescent="0.15">
      <c r="B18" t="s">
        <v>75</v>
      </c>
      <c r="C18" s="12">
        <v>171</v>
      </c>
      <c r="D18" s="8">
        <v>5.3</v>
      </c>
      <c r="E18" s="12">
        <v>119</v>
      </c>
      <c r="F18" s="8">
        <v>8.11</v>
      </c>
      <c r="G18" s="12">
        <v>51</v>
      </c>
      <c r="H18" s="8">
        <v>2.9</v>
      </c>
      <c r="I18" s="12">
        <v>1</v>
      </c>
    </row>
    <row r="19" spans="2:9" ht="15" customHeight="1" x14ac:dyDescent="0.15">
      <c r="B19" t="s">
        <v>76</v>
      </c>
      <c r="C19" s="12">
        <v>74</v>
      </c>
      <c r="D19" s="8">
        <v>2.2999999999999998</v>
      </c>
      <c r="E19" s="12">
        <v>15</v>
      </c>
      <c r="F19" s="8">
        <v>1.02</v>
      </c>
      <c r="G19" s="12">
        <v>59</v>
      </c>
      <c r="H19" s="8">
        <v>3.36</v>
      </c>
      <c r="I19" s="12">
        <v>0</v>
      </c>
    </row>
    <row r="20" spans="2:9" ht="15" customHeight="1" x14ac:dyDescent="0.15">
      <c r="B20" s="9" t="s">
        <v>216</v>
      </c>
      <c r="C20" s="12">
        <f>SUM(LTBL_14111[総数／事業所数])</f>
        <v>3224</v>
      </c>
      <c r="E20" s="12">
        <f>SUBTOTAL(109,LTBL_14111[個人／事業所数])</f>
        <v>1467</v>
      </c>
      <c r="G20" s="12">
        <f>SUBTOTAL(109,LTBL_14111[法人／事業所数])</f>
        <v>1756</v>
      </c>
      <c r="I20" s="12">
        <f>SUBTOTAL(109,LTBL_14111[法人以外の団体／事業所数])</f>
        <v>1</v>
      </c>
    </row>
    <row r="21" spans="2:9" ht="15" customHeight="1" x14ac:dyDescent="0.15">
      <c r="E21" s="11">
        <f>LTBL_14111[[#Totals],[個人／事業所数]]/LTBL_14111[[#Totals],[総数／事業所数]]</f>
        <v>0.45502481389578164</v>
      </c>
      <c r="G21" s="11">
        <f>LTBL_14111[[#Totals],[法人／事業所数]]/LTBL_14111[[#Totals],[総数／事業所数]]</f>
        <v>0.54466501240694787</v>
      </c>
      <c r="I21" s="11">
        <f>LTBL_14111[[#Totals],[法人以外の団体／事業所数]]/LTBL_14111[[#Totals],[総数／事業所数]]</f>
        <v>3.1017369727047146E-4</v>
      </c>
    </row>
    <row r="23" spans="2:9" ht="33" customHeight="1" x14ac:dyDescent="0.15">
      <c r="B23" t="s">
        <v>215</v>
      </c>
      <c r="C23" s="10" t="s">
        <v>78</v>
      </c>
      <c r="D23" s="10" t="s">
        <v>264</v>
      </c>
      <c r="E23" s="10" t="s">
        <v>80</v>
      </c>
      <c r="F23" s="10" t="s">
        <v>223</v>
      </c>
      <c r="G23" s="10" t="s">
        <v>82</v>
      </c>
      <c r="H23" s="10" t="s">
        <v>265</v>
      </c>
      <c r="I23" s="10" t="s">
        <v>84</v>
      </c>
    </row>
    <row r="24" spans="2:9" ht="15" customHeight="1" x14ac:dyDescent="0.15">
      <c r="B24" t="s">
        <v>218</v>
      </c>
      <c r="C24">
        <v>7</v>
      </c>
      <c r="D24" t="s">
        <v>217</v>
      </c>
      <c r="E24">
        <v>0</v>
      </c>
      <c r="F24" t="s">
        <v>219</v>
      </c>
      <c r="G24">
        <v>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482</v>
      </c>
      <c r="D29" s="8">
        <v>14.95</v>
      </c>
      <c r="E29" s="12">
        <v>282</v>
      </c>
      <c r="F29" s="8">
        <v>19.22</v>
      </c>
      <c r="G29" s="12">
        <v>200</v>
      </c>
      <c r="H29" s="8">
        <v>11.39</v>
      </c>
      <c r="I29" s="12">
        <v>0</v>
      </c>
    </row>
    <row r="30" spans="2:9" ht="15" customHeight="1" x14ac:dyDescent="0.15">
      <c r="B30" t="s">
        <v>100</v>
      </c>
      <c r="C30" s="12">
        <v>354</v>
      </c>
      <c r="D30" s="8">
        <v>10.98</v>
      </c>
      <c r="E30" s="12">
        <v>265</v>
      </c>
      <c r="F30" s="8">
        <v>18.059999999999999</v>
      </c>
      <c r="G30" s="12">
        <v>89</v>
      </c>
      <c r="H30" s="8">
        <v>5.07</v>
      </c>
      <c r="I30" s="12">
        <v>0</v>
      </c>
    </row>
    <row r="31" spans="2:9" ht="15" customHeight="1" x14ac:dyDescent="0.15">
      <c r="B31" t="s">
        <v>99</v>
      </c>
      <c r="C31" s="12">
        <v>304</v>
      </c>
      <c r="D31" s="8">
        <v>9.43</v>
      </c>
      <c r="E31" s="12">
        <v>250</v>
      </c>
      <c r="F31" s="8">
        <v>17.04</v>
      </c>
      <c r="G31" s="12">
        <v>54</v>
      </c>
      <c r="H31" s="8">
        <v>3.08</v>
      </c>
      <c r="I31" s="12">
        <v>0</v>
      </c>
    </row>
    <row r="32" spans="2:9" ht="15" customHeight="1" x14ac:dyDescent="0.15">
      <c r="B32" t="s">
        <v>85</v>
      </c>
      <c r="C32" s="12">
        <v>209</v>
      </c>
      <c r="D32" s="8">
        <v>6.48</v>
      </c>
      <c r="E32" s="12">
        <v>22</v>
      </c>
      <c r="F32" s="8">
        <v>1.5</v>
      </c>
      <c r="G32" s="12">
        <v>187</v>
      </c>
      <c r="H32" s="8">
        <v>10.65</v>
      </c>
      <c r="I32" s="12">
        <v>0</v>
      </c>
    </row>
    <row r="33" spans="2:9" ht="15" customHeight="1" x14ac:dyDescent="0.15">
      <c r="B33" t="s">
        <v>94</v>
      </c>
      <c r="C33" s="12">
        <v>171</v>
      </c>
      <c r="D33" s="8">
        <v>5.3</v>
      </c>
      <c r="E33" s="12">
        <v>71</v>
      </c>
      <c r="F33" s="8">
        <v>4.84</v>
      </c>
      <c r="G33" s="12">
        <v>100</v>
      </c>
      <c r="H33" s="8">
        <v>5.69</v>
      </c>
      <c r="I33" s="12">
        <v>0</v>
      </c>
    </row>
    <row r="34" spans="2:9" ht="15" customHeight="1" x14ac:dyDescent="0.15">
      <c r="B34" t="s">
        <v>86</v>
      </c>
      <c r="C34" s="12">
        <v>170</v>
      </c>
      <c r="D34" s="8">
        <v>5.27</v>
      </c>
      <c r="E34" s="12">
        <v>32</v>
      </c>
      <c r="F34" s="8">
        <v>2.1800000000000002</v>
      </c>
      <c r="G34" s="12">
        <v>138</v>
      </c>
      <c r="H34" s="8">
        <v>7.86</v>
      </c>
      <c r="I34" s="12">
        <v>0</v>
      </c>
    </row>
    <row r="35" spans="2:9" ht="15" customHeight="1" x14ac:dyDescent="0.15">
      <c r="B35" t="s">
        <v>102</v>
      </c>
      <c r="C35" s="12">
        <v>166</v>
      </c>
      <c r="D35" s="8">
        <v>5.15</v>
      </c>
      <c r="E35" s="12">
        <v>112</v>
      </c>
      <c r="F35" s="8">
        <v>7.63</v>
      </c>
      <c r="G35" s="12">
        <v>54</v>
      </c>
      <c r="H35" s="8">
        <v>3.08</v>
      </c>
      <c r="I35" s="12">
        <v>0</v>
      </c>
    </row>
    <row r="36" spans="2:9" ht="15" customHeight="1" x14ac:dyDescent="0.15">
      <c r="B36" t="s">
        <v>103</v>
      </c>
      <c r="C36" s="12">
        <v>137</v>
      </c>
      <c r="D36" s="8">
        <v>4.25</v>
      </c>
      <c r="E36" s="12">
        <v>118</v>
      </c>
      <c r="F36" s="8">
        <v>8.0399999999999991</v>
      </c>
      <c r="G36" s="12">
        <v>19</v>
      </c>
      <c r="H36" s="8">
        <v>1.08</v>
      </c>
      <c r="I36" s="12">
        <v>0</v>
      </c>
    </row>
    <row r="37" spans="2:9" ht="15" customHeight="1" x14ac:dyDescent="0.15">
      <c r="B37" t="s">
        <v>87</v>
      </c>
      <c r="C37" s="12">
        <v>133</v>
      </c>
      <c r="D37" s="8">
        <v>4.13</v>
      </c>
      <c r="E37" s="12">
        <v>11</v>
      </c>
      <c r="F37" s="8">
        <v>0.75</v>
      </c>
      <c r="G37" s="12">
        <v>122</v>
      </c>
      <c r="H37" s="8">
        <v>6.95</v>
      </c>
      <c r="I37" s="12">
        <v>0</v>
      </c>
    </row>
    <row r="38" spans="2:9" ht="15" customHeight="1" x14ac:dyDescent="0.15">
      <c r="B38" t="s">
        <v>92</v>
      </c>
      <c r="C38" s="12">
        <v>133</v>
      </c>
      <c r="D38" s="8">
        <v>4.13</v>
      </c>
      <c r="E38" s="12">
        <v>58</v>
      </c>
      <c r="F38" s="8">
        <v>3.95</v>
      </c>
      <c r="G38" s="12">
        <v>75</v>
      </c>
      <c r="H38" s="8">
        <v>4.2699999999999996</v>
      </c>
      <c r="I38" s="12">
        <v>0</v>
      </c>
    </row>
    <row r="39" spans="2:9" ht="15" customHeight="1" x14ac:dyDescent="0.15">
      <c r="B39" t="s">
        <v>97</v>
      </c>
      <c r="C39" s="12">
        <v>102</v>
      </c>
      <c r="D39" s="8">
        <v>3.16</v>
      </c>
      <c r="E39" s="12">
        <v>61</v>
      </c>
      <c r="F39" s="8">
        <v>4.16</v>
      </c>
      <c r="G39" s="12">
        <v>41</v>
      </c>
      <c r="H39" s="8">
        <v>2.33</v>
      </c>
      <c r="I39" s="12">
        <v>0</v>
      </c>
    </row>
    <row r="40" spans="2:9" ht="15" customHeight="1" x14ac:dyDescent="0.15">
      <c r="B40" t="s">
        <v>98</v>
      </c>
      <c r="C40" s="12">
        <v>82</v>
      </c>
      <c r="D40" s="8">
        <v>2.54</v>
      </c>
      <c r="E40" s="12">
        <v>23</v>
      </c>
      <c r="F40" s="8">
        <v>1.57</v>
      </c>
      <c r="G40" s="12">
        <v>59</v>
      </c>
      <c r="H40" s="8">
        <v>3.36</v>
      </c>
      <c r="I40" s="12">
        <v>0</v>
      </c>
    </row>
    <row r="41" spans="2:9" ht="15" customHeight="1" x14ac:dyDescent="0.15">
      <c r="B41" t="s">
        <v>95</v>
      </c>
      <c r="C41" s="12">
        <v>81</v>
      </c>
      <c r="D41" s="8">
        <v>2.5099999999999998</v>
      </c>
      <c r="E41" s="12">
        <v>6</v>
      </c>
      <c r="F41" s="8">
        <v>0.41</v>
      </c>
      <c r="G41" s="12">
        <v>75</v>
      </c>
      <c r="H41" s="8">
        <v>4.2699999999999996</v>
      </c>
      <c r="I41" s="12">
        <v>0</v>
      </c>
    </row>
    <row r="42" spans="2:9" ht="15" customHeight="1" x14ac:dyDescent="0.15">
      <c r="B42" t="s">
        <v>91</v>
      </c>
      <c r="C42" s="12">
        <v>76</v>
      </c>
      <c r="D42" s="8">
        <v>2.36</v>
      </c>
      <c r="E42" s="12">
        <v>16</v>
      </c>
      <c r="F42" s="8">
        <v>1.0900000000000001</v>
      </c>
      <c r="G42" s="12">
        <v>60</v>
      </c>
      <c r="H42" s="8">
        <v>3.42</v>
      </c>
      <c r="I42" s="12">
        <v>0</v>
      </c>
    </row>
    <row r="43" spans="2:9" ht="15" customHeight="1" x14ac:dyDescent="0.15">
      <c r="B43" t="s">
        <v>93</v>
      </c>
      <c r="C43" s="12">
        <v>66</v>
      </c>
      <c r="D43" s="8">
        <v>2.0499999999999998</v>
      </c>
      <c r="E43" s="12">
        <v>23</v>
      </c>
      <c r="F43" s="8">
        <v>1.57</v>
      </c>
      <c r="G43" s="12">
        <v>43</v>
      </c>
      <c r="H43" s="8">
        <v>2.4500000000000002</v>
      </c>
      <c r="I43" s="12">
        <v>0</v>
      </c>
    </row>
    <row r="44" spans="2:9" ht="15" customHeight="1" x14ac:dyDescent="0.15">
      <c r="B44" t="s">
        <v>101</v>
      </c>
      <c r="C44" s="12">
        <v>41</v>
      </c>
      <c r="D44" s="8">
        <v>1.27</v>
      </c>
      <c r="E44" s="12">
        <v>11</v>
      </c>
      <c r="F44" s="8">
        <v>0.75</v>
      </c>
      <c r="G44" s="12">
        <v>30</v>
      </c>
      <c r="H44" s="8">
        <v>1.71</v>
      </c>
      <c r="I44" s="12">
        <v>0</v>
      </c>
    </row>
    <row r="45" spans="2:9" ht="15" customHeight="1" x14ac:dyDescent="0.15">
      <c r="B45" t="s">
        <v>115</v>
      </c>
      <c r="C45" s="12">
        <v>36</v>
      </c>
      <c r="D45" s="8">
        <v>1.1200000000000001</v>
      </c>
      <c r="E45" s="12">
        <v>4</v>
      </c>
      <c r="F45" s="8">
        <v>0.27</v>
      </c>
      <c r="G45" s="12">
        <v>32</v>
      </c>
      <c r="H45" s="8">
        <v>1.82</v>
      </c>
      <c r="I45" s="12">
        <v>0</v>
      </c>
    </row>
    <row r="46" spans="2:9" ht="15" customHeight="1" x14ac:dyDescent="0.15">
      <c r="B46" t="s">
        <v>108</v>
      </c>
      <c r="C46" s="12">
        <v>34</v>
      </c>
      <c r="D46" s="8">
        <v>1.05</v>
      </c>
      <c r="E46" s="12">
        <v>1</v>
      </c>
      <c r="F46" s="8">
        <v>7.0000000000000007E-2</v>
      </c>
      <c r="G46" s="12">
        <v>32</v>
      </c>
      <c r="H46" s="8">
        <v>1.82</v>
      </c>
      <c r="I46" s="12">
        <v>1</v>
      </c>
    </row>
    <row r="47" spans="2:9" ht="15" customHeight="1" x14ac:dyDescent="0.15">
      <c r="B47" t="s">
        <v>104</v>
      </c>
      <c r="C47" s="12">
        <v>33</v>
      </c>
      <c r="D47" s="8">
        <v>1.02</v>
      </c>
      <c r="E47" s="12">
        <v>3</v>
      </c>
      <c r="F47" s="8">
        <v>0.2</v>
      </c>
      <c r="G47" s="12">
        <v>30</v>
      </c>
      <c r="H47" s="8">
        <v>1.71</v>
      </c>
      <c r="I47" s="12">
        <v>0</v>
      </c>
    </row>
    <row r="48" spans="2:9" ht="15" customHeight="1" x14ac:dyDescent="0.15">
      <c r="B48" t="s">
        <v>114</v>
      </c>
      <c r="C48" s="12">
        <v>27</v>
      </c>
      <c r="D48" s="8">
        <v>0.84</v>
      </c>
      <c r="E48" s="12">
        <v>26</v>
      </c>
      <c r="F48" s="8">
        <v>1.77</v>
      </c>
      <c r="G48" s="12">
        <v>1</v>
      </c>
      <c r="H48" s="8">
        <v>0.06</v>
      </c>
      <c r="I48" s="12">
        <v>0</v>
      </c>
    </row>
    <row r="49" spans="2:9" ht="15" customHeight="1" x14ac:dyDescent="0.15">
      <c r="B49" t="s">
        <v>116</v>
      </c>
      <c r="C49" s="12">
        <v>27</v>
      </c>
      <c r="D49" s="8">
        <v>0.84</v>
      </c>
      <c r="E49" s="12">
        <v>13</v>
      </c>
      <c r="F49" s="8">
        <v>0.89</v>
      </c>
      <c r="G49" s="12">
        <v>14</v>
      </c>
      <c r="H49" s="8">
        <v>0.8</v>
      </c>
      <c r="I49" s="12">
        <v>0</v>
      </c>
    </row>
    <row r="52" spans="2:9" ht="33" customHeight="1" x14ac:dyDescent="0.15">
      <c r="B52" t="s">
        <v>255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322</v>
      </c>
      <c r="D53" s="8">
        <v>9.99</v>
      </c>
      <c r="E53" s="12">
        <v>245</v>
      </c>
      <c r="F53" s="8">
        <v>16.7</v>
      </c>
      <c r="G53" s="12">
        <v>77</v>
      </c>
      <c r="H53" s="8">
        <v>4.38</v>
      </c>
      <c r="I53" s="12">
        <v>0</v>
      </c>
    </row>
    <row r="54" spans="2:9" ht="15" customHeight="1" x14ac:dyDescent="0.15">
      <c r="B54" t="s">
        <v>155</v>
      </c>
      <c r="C54" s="12">
        <v>171</v>
      </c>
      <c r="D54" s="8">
        <v>5.3</v>
      </c>
      <c r="E54" s="12">
        <v>132</v>
      </c>
      <c r="F54" s="8">
        <v>9</v>
      </c>
      <c r="G54" s="12">
        <v>39</v>
      </c>
      <c r="H54" s="8">
        <v>2.2200000000000002</v>
      </c>
      <c r="I54" s="12">
        <v>0</v>
      </c>
    </row>
    <row r="55" spans="2:9" ht="15" customHeight="1" x14ac:dyDescent="0.15">
      <c r="B55" t="s">
        <v>156</v>
      </c>
      <c r="C55" s="12">
        <v>109</v>
      </c>
      <c r="D55" s="8">
        <v>3.38</v>
      </c>
      <c r="E55" s="12">
        <v>71</v>
      </c>
      <c r="F55" s="8">
        <v>4.84</v>
      </c>
      <c r="G55" s="12">
        <v>38</v>
      </c>
      <c r="H55" s="8">
        <v>2.16</v>
      </c>
      <c r="I55" s="12">
        <v>0</v>
      </c>
    </row>
    <row r="56" spans="2:9" ht="15" customHeight="1" x14ac:dyDescent="0.15">
      <c r="B56" t="s">
        <v>157</v>
      </c>
      <c r="C56" s="12">
        <v>98</v>
      </c>
      <c r="D56" s="8">
        <v>3.04</v>
      </c>
      <c r="E56" s="12">
        <v>83</v>
      </c>
      <c r="F56" s="8">
        <v>5.66</v>
      </c>
      <c r="G56" s="12">
        <v>15</v>
      </c>
      <c r="H56" s="8">
        <v>0.85</v>
      </c>
      <c r="I56" s="12">
        <v>0</v>
      </c>
    </row>
    <row r="57" spans="2:9" ht="15" customHeight="1" x14ac:dyDescent="0.15">
      <c r="B57" t="s">
        <v>154</v>
      </c>
      <c r="C57" s="12">
        <v>91</v>
      </c>
      <c r="D57" s="8">
        <v>2.82</v>
      </c>
      <c r="E57" s="12">
        <v>82</v>
      </c>
      <c r="F57" s="8">
        <v>5.59</v>
      </c>
      <c r="G57" s="12">
        <v>9</v>
      </c>
      <c r="H57" s="8">
        <v>0.51</v>
      </c>
      <c r="I57" s="12">
        <v>0</v>
      </c>
    </row>
    <row r="58" spans="2:9" ht="15" customHeight="1" x14ac:dyDescent="0.15">
      <c r="B58" t="s">
        <v>151</v>
      </c>
      <c r="C58" s="12">
        <v>89</v>
      </c>
      <c r="D58" s="8">
        <v>2.76</v>
      </c>
      <c r="E58" s="12">
        <v>75</v>
      </c>
      <c r="F58" s="8">
        <v>5.1100000000000003</v>
      </c>
      <c r="G58" s="12">
        <v>14</v>
      </c>
      <c r="H58" s="8">
        <v>0.8</v>
      </c>
      <c r="I58" s="12">
        <v>0</v>
      </c>
    </row>
    <row r="59" spans="2:9" ht="15" customHeight="1" x14ac:dyDescent="0.15">
      <c r="B59" t="s">
        <v>152</v>
      </c>
      <c r="C59" s="12">
        <v>86</v>
      </c>
      <c r="D59" s="8">
        <v>2.67</v>
      </c>
      <c r="E59" s="12">
        <v>84</v>
      </c>
      <c r="F59" s="8">
        <v>5.73</v>
      </c>
      <c r="G59" s="12">
        <v>2</v>
      </c>
      <c r="H59" s="8">
        <v>0.11</v>
      </c>
      <c r="I59" s="12">
        <v>0</v>
      </c>
    </row>
    <row r="60" spans="2:9" ht="15" customHeight="1" x14ac:dyDescent="0.15">
      <c r="B60" t="s">
        <v>149</v>
      </c>
      <c r="C60" s="12">
        <v>83</v>
      </c>
      <c r="D60" s="8">
        <v>2.57</v>
      </c>
      <c r="E60" s="12">
        <v>5</v>
      </c>
      <c r="F60" s="8">
        <v>0.34</v>
      </c>
      <c r="G60" s="12">
        <v>78</v>
      </c>
      <c r="H60" s="8">
        <v>4.4400000000000004</v>
      </c>
      <c r="I60" s="12">
        <v>0</v>
      </c>
    </row>
    <row r="61" spans="2:9" ht="15" customHeight="1" x14ac:dyDescent="0.15">
      <c r="B61" t="s">
        <v>150</v>
      </c>
      <c r="C61" s="12">
        <v>76</v>
      </c>
      <c r="D61" s="8">
        <v>2.36</v>
      </c>
      <c r="E61" s="12">
        <v>55</v>
      </c>
      <c r="F61" s="8">
        <v>3.75</v>
      </c>
      <c r="G61" s="12">
        <v>21</v>
      </c>
      <c r="H61" s="8">
        <v>1.2</v>
      </c>
      <c r="I61" s="12">
        <v>0</v>
      </c>
    </row>
    <row r="62" spans="2:9" ht="15" customHeight="1" x14ac:dyDescent="0.15">
      <c r="B62" t="s">
        <v>145</v>
      </c>
      <c r="C62" s="12">
        <v>75</v>
      </c>
      <c r="D62" s="8">
        <v>2.33</v>
      </c>
      <c r="E62" s="12">
        <v>38</v>
      </c>
      <c r="F62" s="8">
        <v>2.59</v>
      </c>
      <c r="G62" s="12">
        <v>37</v>
      </c>
      <c r="H62" s="8">
        <v>2.11</v>
      </c>
      <c r="I62" s="12">
        <v>0</v>
      </c>
    </row>
    <row r="63" spans="2:9" ht="15" customHeight="1" x14ac:dyDescent="0.15">
      <c r="B63" t="s">
        <v>158</v>
      </c>
      <c r="C63" s="12">
        <v>69</v>
      </c>
      <c r="D63" s="8">
        <v>2.14</v>
      </c>
      <c r="E63" s="12">
        <v>8</v>
      </c>
      <c r="F63" s="8">
        <v>0.55000000000000004</v>
      </c>
      <c r="G63" s="12">
        <v>61</v>
      </c>
      <c r="H63" s="8">
        <v>3.47</v>
      </c>
      <c r="I63" s="12">
        <v>0</v>
      </c>
    </row>
    <row r="64" spans="2:9" ht="15" customHeight="1" x14ac:dyDescent="0.15">
      <c r="B64" t="s">
        <v>141</v>
      </c>
      <c r="C64" s="12">
        <v>68</v>
      </c>
      <c r="D64" s="8">
        <v>2.11</v>
      </c>
      <c r="E64" s="12">
        <v>5</v>
      </c>
      <c r="F64" s="8">
        <v>0.34</v>
      </c>
      <c r="G64" s="12">
        <v>63</v>
      </c>
      <c r="H64" s="8">
        <v>3.59</v>
      </c>
      <c r="I64" s="12">
        <v>0</v>
      </c>
    </row>
    <row r="65" spans="2:9" ht="15" customHeight="1" x14ac:dyDescent="0.15">
      <c r="B65" t="s">
        <v>143</v>
      </c>
      <c r="C65" s="12">
        <v>60</v>
      </c>
      <c r="D65" s="8">
        <v>1.86</v>
      </c>
      <c r="E65" s="12">
        <v>27</v>
      </c>
      <c r="F65" s="8">
        <v>1.84</v>
      </c>
      <c r="G65" s="12">
        <v>33</v>
      </c>
      <c r="H65" s="8">
        <v>1.88</v>
      </c>
      <c r="I65" s="12">
        <v>0</v>
      </c>
    </row>
    <row r="66" spans="2:9" ht="15" customHeight="1" x14ac:dyDescent="0.15">
      <c r="B66" t="s">
        <v>146</v>
      </c>
      <c r="C66" s="12">
        <v>59</v>
      </c>
      <c r="D66" s="8">
        <v>1.83</v>
      </c>
      <c r="E66" s="12">
        <v>6</v>
      </c>
      <c r="F66" s="8">
        <v>0.41</v>
      </c>
      <c r="G66" s="12">
        <v>53</v>
      </c>
      <c r="H66" s="8">
        <v>3.02</v>
      </c>
      <c r="I66" s="12">
        <v>0</v>
      </c>
    </row>
    <row r="67" spans="2:9" ht="15" customHeight="1" x14ac:dyDescent="0.15">
      <c r="B67" t="s">
        <v>153</v>
      </c>
      <c r="C67" s="12">
        <v>54</v>
      </c>
      <c r="D67" s="8">
        <v>1.67</v>
      </c>
      <c r="E67" s="12">
        <v>29</v>
      </c>
      <c r="F67" s="8">
        <v>1.98</v>
      </c>
      <c r="G67" s="12">
        <v>25</v>
      </c>
      <c r="H67" s="8">
        <v>1.42</v>
      </c>
      <c r="I67" s="12">
        <v>0</v>
      </c>
    </row>
    <row r="68" spans="2:9" ht="15" customHeight="1" x14ac:dyDescent="0.15">
      <c r="B68" t="s">
        <v>139</v>
      </c>
      <c r="C68" s="12">
        <v>52</v>
      </c>
      <c r="D68" s="8">
        <v>1.61</v>
      </c>
      <c r="E68" s="12">
        <v>7</v>
      </c>
      <c r="F68" s="8">
        <v>0.48</v>
      </c>
      <c r="G68" s="12">
        <v>45</v>
      </c>
      <c r="H68" s="8">
        <v>2.56</v>
      </c>
      <c r="I68" s="12">
        <v>0</v>
      </c>
    </row>
    <row r="69" spans="2:9" ht="15" customHeight="1" x14ac:dyDescent="0.15">
      <c r="B69" t="s">
        <v>175</v>
      </c>
      <c r="C69" s="12">
        <v>50</v>
      </c>
      <c r="D69" s="8">
        <v>1.55</v>
      </c>
      <c r="E69" s="12">
        <v>40</v>
      </c>
      <c r="F69" s="8">
        <v>2.73</v>
      </c>
      <c r="G69" s="12">
        <v>10</v>
      </c>
      <c r="H69" s="8">
        <v>0.56999999999999995</v>
      </c>
      <c r="I69" s="12">
        <v>0</v>
      </c>
    </row>
    <row r="70" spans="2:9" ht="15" customHeight="1" x14ac:dyDescent="0.15">
      <c r="B70" t="s">
        <v>138</v>
      </c>
      <c r="C70" s="12">
        <v>45</v>
      </c>
      <c r="D70" s="8">
        <v>1.4</v>
      </c>
      <c r="E70" s="12">
        <v>3</v>
      </c>
      <c r="F70" s="8">
        <v>0.2</v>
      </c>
      <c r="G70" s="12">
        <v>42</v>
      </c>
      <c r="H70" s="8">
        <v>2.39</v>
      </c>
      <c r="I70" s="12">
        <v>0</v>
      </c>
    </row>
    <row r="71" spans="2:9" ht="15" customHeight="1" x14ac:dyDescent="0.15">
      <c r="B71" t="s">
        <v>140</v>
      </c>
      <c r="C71" s="12">
        <v>45</v>
      </c>
      <c r="D71" s="8">
        <v>1.4</v>
      </c>
      <c r="E71" s="12">
        <v>5</v>
      </c>
      <c r="F71" s="8">
        <v>0.34</v>
      </c>
      <c r="G71" s="12">
        <v>40</v>
      </c>
      <c r="H71" s="8">
        <v>2.2799999999999998</v>
      </c>
      <c r="I71" s="12">
        <v>0</v>
      </c>
    </row>
    <row r="72" spans="2:9" ht="15" customHeight="1" x14ac:dyDescent="0.15">
      <c r="B72" t="s">
        <v>159</v>
      </c>
      <c r="C72" s="12">
        <v>44</v>
      </c>
      <c r="D72" s="8">
        <v>1.36</v>
      </c>
      <c r="E72" s="12">
        <v>10</v>
      </c>
      <c r="F72" s="8">
        <v>0.68</v>
      </c>
      <c r="G72" s="12">
        <v>34</v>
      </c>
      <c r="H72" s="8">
        <v>1.94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267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589</v>
      </c>
      <c r="D6" s="8">
        <v>19.989999999999998</v>
      </c>
      <c r="E6" s="12">
        <v>74</v>
      </c>
      <c r="F6" s="8">
        <v>5.97</v>
      </c>
      <c r="G6" s="12">
        <v>515</v>
      </c>
      <c r="H6" s="8">
        <v>30.33</v>
      </c>
      <c r="I6" s="12">
        <v>0</v>
      </c>
    </row>
    <row r="7" spans="2:9" ht="15" customHeight="1" x14ac:dyDescent="0.15">
      <c r="B7" t="s">
        <v>64</v>
      </c>
      <c r="C7" s="12">
        <v>169</v>
      </c>
      <c r="D7" s="8">
        <v>5.74</v>
      </c>
      <c r="E7" s="12">
        <v>24</v>
      </c>
      <c r="F7" s="8">
        <v>1.94</v>
      </c>
      <c r="G7" s="12">
        <v>145</v>
      </c>
      <c r="H7" s="8">
        <v>8.5399999999999991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38</v>
      </c>
      <c r="D9" s="8">
        <v>1.29</v>
      </c>
      <c r="E9" s="12">
        <v>0</v>
      </c>
      <c r="F9" s="8">
        <v>0</v>
      </c>
      <c r="G9" s="12">
        <v>38</v>
      </c>
      <c r="H9" s="8">
        <v>2.2400000000000002</v>
      </c>
      <c r="I9" s="12">
        <v>0</v>
      </c>
    </row>
    <row r="10" spans="2:9" ht="15" customHeight="1" x14ac:dyDescent="0.15">
      <c r="B10" t="s">
        <v>67</v>
      </c>
      <c r="C10" s="12">
        <v>39</v>
      </c>
      <c r="D10" s="8">
        <v>1.32</v>
      </c>
      <c r="E10" s="12">
        <v>18</v>
      </c>
      <c r="F10" s="8">
        <v>1.45</v>
      </c>
      <c r="G10" s="12">
        <v>21</v>
      </c>
      <c r="H10" s="8">
        <v>1.24</v>
      </c>
      <c r="I10" s="12">
        <v>0</v>
      </c>
    </row>
    <row r="11" spans="2:9" ht="15" customHeight="1" x14ac:dyDescent="0.15">
      <c r="B11" t="s">
        <v>68</v>
      </c>
      <c r="C11" s="12">
        <v>602</v>
      </c>
      <c r="D11" s="8">
        <v>20.43</v>
      </c>
      <c r="E11" s="12">
        <v>218</v>
      </c>
      <c r="F11" s="8">
        <v>17.59</v>
      </c>
      <c r="G11" s="12">
        <v>384</v>
      </c>
      <c r="H11" s="8">
        <v>22.61</v>
      </c>
      <c r="I11" s="12">
        <v>0</v>
      </c>
    </row>
    <row r="12" spans="2:9" ht="15" customHeight="1" x14ac:dyDescent="0.15">
      <c r="B12" t="s">
        <v>69</v>
      </c>
      <c r="C12" s="12">
        <v>11</v>
      </c>
      <c r="D12" s="8">
        <v>0.37</v>
      </c>
      <c r="E12" s="12">
        <v>1</v>
      </c>
      <c r="F12" s="8">
        <v>0.08</v>
      </c>
      <c r="G12" s="12">
        <v>10</v>
      </c>
      <c r="H12" s="8">
        <v>0.59</v>
      </c>
      <c r="I12" s="12">
        <v>0</v>
      </c>
    </row>
    <row r="13" spans="2:9" ht="15" customHeight="1" x14ac:dyDescent="0.15">
      <c r="B13" t="s">
        <v>70</v>
      </c>
      <c r="C13" s="12">
        <v>296</v>
      </c>
      <c r="D13" s="8">
        <v>10.050000000000001</v>
      </c>
      <c r="E13" s="12">
        <v>129</v>
      </c>
      <c r="F13" s="8">
        <v>10.41</v>
      </c>
      <c r="G13" s="12">
        <v>160</v>
      </c>
      <c r="H13" s="8">
        <v>9.42</v>
      </c>
      <c r="I13" s="12">
        <v>7</v>
      </c>
    </row>
    <row r="14" spans="2:9" ht="15" customHeight="1" x14ac:dyDescent="0.15">
      <c r="B14" t="s">
        <v>71</v>
      </c>
      <c r="C14" s="12">
        <v>171</v>
      </c>
      <c r="D14" s="8">
        <v>5.8</v>
      </c>
      <c r="E14" s="12">
        <v>69</v>
      </c>
      <c r="F14" s="8">
        <v>5.57</v>
      </c>
      <c r="G14" s="12">
        <v>102</v>
      </c>
      <c r="H14" s="8">
        <v>6.01</v>
      </c>
      <c r="I14" s="12">
        <v>0</v>
      </c>
    </row>
    <row r="15" spans="2:9" ht="15" customHeight="1" x14ac:dyDescent="0.15">
      <c r="B15" t="s">
        <v>72</v>
      </c>
      <c r="C15" s="12">
        <v>282</v>
      </c>
      <c r="D15" s="8">
        <v>9.57</v>
      </c>
      <c r="E15" s="12">
        <v>232</v>
      </c>
      <c r="F15" s="8">
        <v>18.72</v>
      </c>
      <c r="G15" s="12">
        <v>50</v>
      </c>
      <c r="H15" s="8">
        <v>2.94</v>
      </c>
      <c r="I15" s="12">
        <v>0</v>
      </c>
    </row>
    <row r="16" spans="2:9" ht="15" customHeight="1" x14ac:dyDescent="0.15">
      <c r="B16" t="s">
        <v>73</v>
      </c>
      <c r="C16" s="12">
        <v>355</v>
      </c>
      <c r="D16" s="8">
        <v>12.05</v>
      </c>
      <c r="E16" s="12">
        <v>257</v>
      </c>
      <c r="F16" s="8">
        <v>20.74</v>
      </c>
      <c r="G16" s="12">
        <v>98</v>
      </c>
      <c r="H16" s="8">
        <v>5.77</v>
      </c>
      <c r="I16" s="12">
        <v>0</v>
      </c>
    </row>
    <row r="17" spans="2:9" ht="15" customHeight="1" x14ac:dyDescent="0.15">
      <c r="B17" t="s">
        <v>74</v>
      </c>
      <c r="C17" s="12">
        <v>130</v>
      </c>
      <c r="D17" s="8">
        <v>4.41</v>
      </c>
      <c r="E17" s="12">
        <v>87</v>
      </c>
      <c r="F17" s="8">
        <v>7.02</v>
      </c>
      <c r="G17" s="12">
        <v>43</v>
      </c>
      <c r="H17" s="8">
        <v>2.5299999999999998</v>
      </c>
      <c r="I17" s="12">
        <v>0</v>
      </c>
    </row>
    <row r="18" spans="2:9" ht="15" customHeight="1" x14ac:dyDescent="0.15">
      <c r="B18" t="s">
        <v>75</v>
      </c>
      <c r="C18" s="12">
        <v>157</v>
      </c>
      <c r="D18" s="8">
        <v>5.33</v>
      </c>
      <c r="E18" s="12">
        <v>102</v>
      </c>
      <c r="F18" s="8">
        <v>8.23</v>
      </c>
      <c r="G18" s="12">
        <v>54</v>
      </c>
      <c r="H18" s="8">
        <v>3.18</v>
      </c>
      <c r="I18" s="12">
        <v>1</v>
      </c>
    </row>
    <row r="19" spans="2:9" ht="15" customHeight="1" x14ac:dyDescent="0.15">
      <c r="B19" t="s">
        <v>76</v>
      </c>
      <c r="C19" s="12">
        <v>107</v>
      </c>
      <c r="D19" s="8">
        <v>3.63</v>
      </c>
      <c r="E19" s="12">
        <v>28</v>
      </c>
      <c r="F19" s="8">
        <v>2.2599999999999998</v>
      </c>
      <c r="G19" s="12">
        <v>78</v>
      </c>
      <c r="H19" s="8">
        <v>4.59</v>
      </c>
      <c r="I19" s="12">
        <v>1</v>
      </c>
    </row>
    <row r="20" spans="2:9" ht="15" customHeight="1" x14ac:dyDescent="0.15">
      <c r="B20" s="9" t="s">
        <v>216</v>
      </c>
      <c r="C20" s="12">
        <f>SUM(LTBL_14112[総数／事業所数])</f>
        <v>2946</v>
      </c>
      <c r="E20" s="12">
        <f>SUBTOTAL(109,LTBL_14112[個人／事業所数])</f>
        <v>1239</v>
      </c>
      <c r="G20" s="12">
        <f>SUBTOTAL(109,LTBL_14112[法人／事業所数])</f>
        <v>1698</v>
      </c>
      <c r="I20" s="12">
        <f>SUBTOTAL(109,LTBL_14112[法人以外の団体／事業所数])</f>
        <v>9</v>
      </c>
    </row>
    <row r="21" spans="2:9" ht="15" customHeight="1" x14ac:dyDescent="0.15">
      <c r="E21" s="11">
        <f>LTBL_14112[[#Totals],[個人／事業所数]]/LTBL_14112[[#Totals],[総数／事業所数]]</f>
        <v>0.42057026476578413</v>
      </c>
      <c r="G21" s="11">
        <f>LTBL_14112[[#Totals],[法人／事業所数]]/LTBL_14112[[#Totals],[総数／事業所数]]</f>
        <v>0.57637474541751532</v>
      </c>
      <c r="I21" s="11">
        <f>LTBL_14112[[#Totals],[法人以外の団体／事業所数]]/LTBL_14112[[#Totals],[総数／事業所数]]</f>
        <v>3.0549898167006109E-3</v>
      </c>
    </row>
    <row r="23" spans="2:9" ht="33" customHeight="1" x14ac:dyDescent="0.15">
      <c r="B23" t="s">
        <v>215</v>
      </c>
      <c r="C23" s="10" t="s">
        <v>78</v>
      </c>
      <c r="D23" s="10" t="s">
        <v>268</v>
      </c>
      <c r="E23" s="10" t="s">
        <v>80</v>
      </c>
      <c r="F23" s="10" t="s">
        <v>269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8</v>
      </c>
      <c r="D24" t="s">
        <v>217</v>
      </c>
      <c r="E24">
        <v>0</v>
      </c>
      <c r="F24" t="s">
        <v>219</v>
      </c>
      <c r="G24">
        <v>8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270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296</v>
      </c>
      <c r="D29" s="8">
        <v>10.050000000000001</v>
      </c>
      <c r="E29" s="12">
        <v>228</v>
      </c>
      <c r="F29" s="8">
        <v>18.399999999999999</v>
      </c>
      <c r="G29" s="12">
        <v>68</v>
      </c>
      <c r="H29" s="8">
        <v>4</v>
      </c>
      <c r="I29" s="12">
        <v>0</v>
      </c>
    </row>
    <row r="30" spans="2:9" ht="15" customHeight="1" x14ac:dyDescent="0.15">
      <c r="B30" t="s">
        <v>99</v>
      </c>
      <c r="C30" s="12">
        <v>263</v>
      </c>
      <c r="D30" s="8">
        <v>8.93</v>
      </c>
      <c r="E30" s="12">
        <v>230</v>
      </c>
      <c r="F30" s="8">
        <v>18.559999999999999</v>
      </c>
      <c r="G30" s="12">
        <v>33</v>
      </c>
      <c r="H30" s="8">
        <v>1.94</v>
      </c>
      <c r="I30" s="12">
        <v>0</v>
      </c>
    </row>
    <row r="31" spans="2:9" ht="15" customHeight="1" x14ac:dyDescent="0.15">
      <c r="B31" t="s">
        <v>96</v>
      </c>
      <c r="C31" s="12">
        <v>234</v>
      </c>
      <c r="D31" s="8">
        <v>7.94</v>
      </c>
      <c r="E31" s="12">
        <v>126</v>
      </c>
      <c r="F31" s="8">
        <v>10.17</v>
      </c>
      <c r="G31" s="12">
        <v>101</v>
      </c>
      <c r="H31" s="8">
        <v>5.95</v>
      </c>
      <c r="I31" s="12">
        <v>7</v>
      </c>
    </row>
    <row r="32" spans="2:9" ht="15" customHeight="1" x14ac:dyDescent="0.15">
      <c r="B32" t="s">
        <v>86</v>
      </c>
      <c r="C32" s="12">
        <v>215</v>
      </c>
      <c r="D32" s="8">
        <v>7.3</v>
      </c>
      <c r="E32" s="12">
        <v>38</v>
      </c>
      <c r="F32" s="8">
        <v>3.07</v>
      </c>
      <c r="G32" s="12">
        <v>177</v>
      </c>
      <c r="H32" s="8">
        <v>10.42</v>
      </c>
      <c r="I32" s="12">
        <v>0</v>
      </c>
    </row>
    <row r="33" spans="2:9" ht="15" customHeight="1" x14ac:dyDescent="0.15">
      <c r="B33" t="s">
        <v>85</v>
      </c>
      <c r="C33" s="12">
        <v>203</v>
      </c>
      <c r="D33" s="8">
        <v>6.89</v>
      </c>
      <c r="E33" s="12">
        <v>23</v>
      </c>
      <c r="F33" s="8">
        <v>1.86</v>
      </c>
      <c r="G33" s="12">
        <v>180</v>
      </c>
      <c r="H33" s="8">
        <v>10.6</v>
      </c>
      <c r="I33" s="12">
        <v>0</v>
      </c>
    </row>
    <row r="34" spans="2:9" ht="15" customHeight="1" x14ac:dyDescent="0.15">
      <c r="B34" t="s">
        <v>87</v>
      </c>
      <c r="C34" s="12">
        <v>171</v>
      </c>
      <c r="D34" s="8">
        <v>5.8</v>
      </c>
      <c r="E34" s="12">
        <v>13</v>
      </c>
      <c r="F34" s="8">
        <v>1.05</v>
      </c>
      <c r="G34" s="12">
        <v>158</v>
      </c>
      <c r="H34" s="8">
        <v>9.31</v>
      </c>
      <c r="I34" s="12">
        <v>0</v>
      </c>
    </row>
    <row r="35" spans="2:9" ht="15" customHeight="1" x14ac:dyDescent="0.15">
      <c r="B35" t="s">
        <v>94</v>
      </c>
      <c r="C35" s="12">
        <v>154</v>
      </c>
      <c r="D35" s="8">
        <v>5.23</v>
      </c>
      <c r="E35" s="12">
        <v>63</v>
      </c>
      <c r="F35" s="8">
        <v>5.08</v>
      </c>
      <c r="G35" s="12">
        <v>91</v>
      </c>
      <c r="H35" s="8">
        <v>5.36</v>
      </c>
      <c r="I35" s="12">
        <v>0</v>
      </c>
    </row>
    <row r="36" spans="2:9" ht="15" customHeight="1" x14ac:dyDescent="0.15">
      <c r="B36" t="s">
        <v>92</v>
      </c>
      <c r="C36" s="12">
        <v>137</v>
      </c>
      <c r="D36" s="8">
        <v>4.6500000000000004</v>
      </c>
      <c r="E36" s="12">
        <v>80</v>
      </c>
      <c r="F36" s="8">
        <v>6.46</v>
      </c>
      <c r="G36" s="12">
        <v>57</v>
      </c>
      <c r="H36" s="8">
        <v>3.36</v>
      </c>
      <c r="I36" s="12">
        <v>0</v>
      </c>
    </row>
    <row r="37" spans="2:9" ht="15" customHeight="1" x14ac:dyDescent="0.15">
      <c r="B37" t="s">
        <v>102</v>
      </c>
      <c r="C37" s="12">
        <v>130</v>
      </c>
      <c r="D37" s="8">
        <v>4.41</v>
      </c>
      <c r="E37" s="12">
        <v>87</v>
      </c>
      <c r="F37" s="8">
        <v>7.02</v>
      </c>
      <c r="G37" s="12">
        <v>43</v>
      </c>
      <c r="H37" s="8">
        <v>2.5299999999999998</v>
      </c>
      <c r="I37" s="12">
        <v>0</v>
      </c>
    </row>
    <row r="38" spans="2:9" ht="15" customHeight="1" x14ac:dyDescent="0.15">
      <c r="B38" t="s">
        <v>103</v>
      </c>
      <c r="C38" s="12">
        <v>121</v>
      </c>
      <c r="D38" s="8">
        <v>4.1100000000000003</v>
      </c>
      <c r="E38" s="12">
        <v>102</v>
      </c>
      <c r="F38" s="8">
        <v>8.23</v>
      </c>
      <c r="G38" s="12">
        <v>19</v>
      </c>
      <c r="H38" s="8">
        <v>1.1200000000000001</v>
      </c>
      <c r="I38" s="12">
        <v>0</v>
      </c>
    </row>
    <row r="39" spans="2:9" ht="15" customHeight="1" x14ac:dyDescent="0.15">
      <c r="B39" t="s">
        <v>93</v>
      </c>
      <c r="C39" s="12">
        <v>92</v>
      </c>
      <c r="D39" s="8">
        <v>3.12</v>
      </c>
      <c r="E39" s="12">
        <v>28</v>
      </c>
      <c r="F39" s="8">
        <v>2.2599999999999998</v>
      </c>
      <c r="G39" s="12">
        <v>64</v>
      </c>
      <c r="H39" s="8">
        <v>3.77</v>
      </c>
      <c r="I39" s="12">
        <v>0</v>
      </c>
    </row>
    <row r="40" spans="2:9" ht="15" customHeight="1" x14ac:dyDescent="0.15">
      <c r="B40" t="s">
        <v>98</v>
      </c>
      <c r="C40" s="12">
        <v>87</v>
      </c>
      <c r="D40" s="8">
        <v>2.95</v>
      </c>
      <c r="E40" s="12">
        <v>28</v>
      </c>
      <c r="F40" s="8">
        <v>2.2599999999999998</v>
      </c>
      <c r="G40" s="12">
        <v>59</v>
      </c>
      <c r="H40" s="8">
        <v>3.47</v>
      </c>
      <c r="I40" s="12">
        <v>0</v>
      </c>
    </row>
    <row r="41" spans="2:9" ht="15" customHeight="1" x14ac:dyDescent="0.15">
      <c r="B41" t="s">
        <v>97</v>
      </c>
      <c r="C41" s="12">
        <v>76</v>
      </c>
      <c r="D41" s="8">
        <v>2.58</v>
      </c>
      <c r="E41" s="12">
        <v>41</v>
      </c>
      <c r="F41" s="8">
        <v>3.31</v>
      </c>
      <c r="G41" s="12">
        <v>35</v>
      </c>
      <c r="H41" s="8">
        <v>2.06</v>
      </c>
      <c r="I41" s="12">
        <v>0</v>
      </c>
    </row>
    <row r="42" spans="2:9" ht="15" customHeight="1" x14ac:dyDescent="0.15">
      <c r="B42" t="s">
        <v>91</v>
      </c>
      <c r="C42" s="12">
        <v>61</v>
      </c>
      <c r="D42" s="8">
        <v>2.0699999999999998</v>
      </c>
      <c r="E42" s="12">
        <v>33</v>
      </c>
      <c r="F42" s="8">
        <v>2.66</v>
      </c>
      <c r="G42" s="12">
        <v>28</v>
      </c>
      <c r="H42" s="8">
        <v>1.65</v>
      </c>
      <c r="I42" s="12">
        <v>0</v>
      </c>
    </row>
    <row r="43" spans="2:9" ht="15" customHeight="1" x14ac:dyDescent="0.15">
      <c r="B43" t="s">
        <v>90</v>
      </c>
      <c r="C43" s="12">
        <v>57</v>
      </c>
      <c r="D43" s="8">
        <v>1.93</v>
      </c>
      <c r="E43" s="12">
        <v>1</v>
      </c>
      <c r="F43" s="8">
        <v>0.08</v>
      </c>
      <c r="G43" s="12">
        <v>56</v>
      </c>
      <c r="H43" s="8">
        <v>3.3</v>
      </c>
      <c r="I43" s="12">
        <v>0</v>
      </c>
    </row>
    <row r="44" spans="2:9" ht="15" customHeight="1" x14ac:dyDescent="0.15">
      <c r="B44" t="s">
        <v>95</v>
      </c>
      <c r="C44" s="12">
        <v>52</v>
      </c>
      <c r="D44" s="8">
        <v>1.77</v>
      </c>
      <c r="E44" s="12">
        <v>3</v>
      </c>
      <c r="F44" s="8">
        <v>0.24</v>
      </c>
      <c r="G44" s="12">
        <v>49</v>
      </c>
      <c r="H44" s="8">
        <v>2.89</v>
      </c>
      <c r="I44" s="12">
        <v>0</v>
      </c>
    </row>
    <row r="45" spans="2:9" ht="15" customHeight="1" x14ac:dyDescent="0.15">
      <c r="B45" t="s">
        <v>108</v>
      </c>
      <c r="C45" s="12">
        <v>36</v>
      </c>
      <c r="D45" s="8">
        <v>1.22</v>
      </c>
      <c r="E45" s="12">
        <v>0</v>
      </c>
      <c r="F45" s="8">
        <v>0</v>
      </c>
      <c r="G45" s="12">
        <v>35</v>
      </c>
      <c r="H45" s="8">
        <v>2.06</v>
      </c>
      <c r="I45" s="12">
        <v>1</v>
      </c>
    </row>
    <row r="46" spans="2:9" ht="15" customHeight="1" x14ac:dyDescent="0.15">
      <c r="B46" t="s">
        <v>101</v>
      </c>
      <c r="C46" s="12">
        <v>35</v>
      </c>
      <c r="D46" s="8">
        <v>1.19</v>
      </c>
      <c r="E46" s="12">
        <v>11</v>
      </c>
      <c r="F46" s="8">
        <v>0.89</v>
      </c>
      <c r="G46" s="12">
        <v>24</v>
      </c>
      <c r="H46" s="8">
        <v>1.41</v>
      </c>
      <c r="I46" s="12">
        <v>0</v>
      </c>
    </row>
    <row r="47" spans="2:9" ht="15" customHeight="1" x14ac:dyDescent="0.15">
      <c r="B47" t="s">
        <v>117</v>
      </c>
      <c r="C47" s="12">
        <v>35</v>
      </c>
      <c r="D47" s="8">
        <v>1.19</v>
      </c>
      <c r="E47" s="12">
        <v>18</v>
      </c>
      <c r="F47" s="8">
        <v>1.45</v>
      </c>
      <c r="G47" s="12">
        <v>17</v>
      </c>
      <c r="H47" s="8">
        <v>1</v>
      </c>
      <c r="I47" s="12">
        <v>0</v>
      </c>
    </row>
    <row r="48" spans="2:9" ht="15" customHeight="1" x14ac:dyDescent="0.15">
      <c r="B48" t="s">
        <v>104</v>
      </c>
      <c r="C48" s="12">
        <v>33</v>
      </c>
      <c r="D48" s="8">
        <v>1.1200000000000001</v>
      </c>
      <c r="E48" s="12">
        <v>3</v>
      </c>
      <c r="F48" s="8">
        <v>0.24</v>
      </c>
      <c r="G48" s="12">
        <v>30</v>
      </c>
      <c r="H48" s="8">
        <v>1.77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146</v>
      </c>
      <c r="D52" s="8">
        <v>4.96</v>
      </c>
      <c r="E52" s="12">
        <v>110</v>
      </c>
      <c r="F52" s="8">
        <v>8.8800000000000008</v>
      </c>
      <c r="G52" s="12">
        <v>36</v>
      </c>
      <c r="H52" s="8">
        <v>2.12</v>
      </c>
      <c r="I52" s="12">
        <v>0</v>
      </c>
    </row>
    <row r="53" spans="2:9" ht="15" customHeight="1" x14ac:dyDescent="0.15">
      <c r="B53" t="s">
        <v>155</v>
      </c>
      <c r="C53" s="12">
        <v>135</v>
      </c>
      <c r="D53" s="8">
        <v>4.58</v>
      </c>
      <c r="E53" s="12">
        <v>114</v>
      </c>
      <c r="F53" s="8">
        <v>9.1999999999999993</v>
      </c>
      <c r="G53" s="12">
        <v>21</v>
      </c>
      <c r="H53" s="8">
        <v>1.24</v>
      </c>
      <c r="I53" s="12">
        <v>0</v>
      </c>
    </row>
    <row r="54" spans="2:9" ht="15" customHeight="1" x14ac:dyDescent="0.15">
      <c r="B54" t="s">
        <v>154</v>
      </c>
      <c r="C54" s="12">
        <v>89</v>
      </c>
      <c r="D54" s="8">
        <v>3.02</v>
      </c>
      <c r="E54" s="12">
        <v>76</v>
      </c>
      <c r="F54" s="8">
        <v>6.13</v>
      </c>
      <c r="G54" s="12">
        <v>13</v>
      </c>
      <c r="H54" s="8">
        <v>0.77</v>
      </c>
      <c r="I54" s="12">
        <v>0</v>
      </c>
    </row>
    <row r="55" spans="2:9" ht="15" customHeight="1" x14ac:dyDescent="0.15">
      <c r="B55" t="s">
        <v>156</v>
      </c>
      <c r="C55" s="12">
        <v>87</v>
      </c>
      <c r="D55" s="8">
        <v>2.95</v>
      </c>
      <c r="E55" s="12">
        <v>61</v>
      </c>
      <c r="F55" s="8">
        <v>4.92</v>
      </c>
      <c r="G55" s="12">
        <v>26</v>
      </c>
      <c r="H55" s="8">
        <v>1.53</v>
      </c>
      <c r="I55" s="12">
        <v>0</v>
      </c>
    </row>
    <row r="56" spans="2:9" ht="15" customHeight="1" x14ac:dyDescent="0.15">
      <c r="B56" t="s">
        <v>141</v>
      </c>
      <c r="C56" s="12">
        <v>79</v>
      </c>
      <c r="D56" s="8">
        <v>2.68</v>
      </c>
      <c r="E56" s="12">
        <v>6</v>
      </c>
      <c r="F56" s="8">
        <v>0.48</v>
      </c>
      <c r="G56" s="12">
        <v>73</v>
      </c>
      <c r="H56" s="8">
        <v>4.3</v>
      </c>
      <c r="I56" s="12">
        <v>0</v>
      </c>
    </row>
    <row r="57" spans="2:9" ht="15" customHeight="1" x14ac:dyDescent="0.15">
      <c r="B57" t="s">
        <v>157</v>
      </c>
      <c r="C57" s="12">
        <v>77</v>
      </c>
      <c r="D57" s="8">
        <v>2.61</v>
      </c>
      <c r="E57" s="12">
        <v>64</v>
      </c>
      <c r="F57" s="8">
        <v>5.17</v>
      </c>
      <c r="G57" s="12">
        <v>13</v>
      </c>
      <c r="H57" s="8">
        <v>0.77</v>
      </c>
      <c r="I57" s="12">
        <v>0</v>
      </c>
    </row>
    <row r="58" spans="2:9" ht="15" customHeight="1" x14ac:dyDescent="0.15">
      <c r="B58" t="s">
        <v>150</v>
      </c>
      <c r="C58" s="12">
        <v>69</v>
      </c>
      <c r="D58" s="8">
        <v>2.34</v>
      </c>
      <c r="E58" s="12">
        <v>56</v>
      </c>
      <c r="F58" s="8">
        <v>4.5199999999999996</v>
      </c>
      <c r="G58" s="12">
        <v>13</v>
      </c>
      <c r="H58" s="8">
        <v>0.77</v>
      </c>
      <c r="I58" s="12">
        <v>0</v>
      </c>
    </row>
    <row r="59" spans="2:9" ht="15" customHeight="1" x14ac:dyDescent="0.15">
      <c r="B59" t="s">
        <v>151</v>
      </c>
      <c r="C59" s="12">
        <v>67</v>
      </c>
      <c r="D59" s="8">
        <v>2.27</v>
      </c>
      <c r="E59" s="12">
        <v>61</v>
      </c>
      <c r="F59" s="8">
        <v>4.92</v>
      </c>
      <c r="G59" s="12">
        <v>6</v>
      </c>
      <c r="H59" s="8">
        <v>0.35</v>
      </c>
      <c r="I59" s="12">
        <v>0</v>
      </c>
    </row>
    <row r="60" spans="2:9" ht="15" customHeight="1" x14ac:dyDescent="0.15">
      <c r="B60" t="s">
        <v>152</v>
      </c>
      <c r="C60" s="12">
        <v>66</v>
      </c>
      <c r="D60" s="8">
        <v>2.2400000000000002</v>
      </c>
      <c r="E60" s="12">
        <v>63</v>
      </c>
      <c r="F60" s="8">
        <v>5.08</v>
      </c>
      <c r="G60" s="12">
        <v>3</v>
      </c>
      <c r="H60" s="8">
        <v>0.18</v>
      </c>
      <c r="I60" s="12">
        <v>0</v>
      </c>
    </row>
    <row r="61" spans="2:9" ht="15" customHeight="1" x14ac:dyDescent="0.15">
      <c r="B61" t="s">
        <v>158</v>
      </c>
      <c r="C61" s="12">
        <v>60</v>
      </c>
      <c r="D61" s="8">
        <v>2.04</v>
      </c>
      <c r="E61" s="12">
        <v>7</v>
      </c>
      <c r="F61" s="8">
        <v>0.56000000000000005</v>
      </c>
      <c r="G61" s="12">
        <v>53</v>
      </c>
      <c r="H61" s="8">
        <v>3.12</v>
      </c>
      <c r="I61" s="12">
        <v>0</v>
      </c>
    </row>
    <row r="62" spans="2:9" ht="15" customHeight="1" x14ac:dyDescent="0.15">
      <c r="B62" t="s">
        <v>140</v>
      </c>
      <c r="C62" s="12">
        <v>59</v>
      </c>
      <c r="D62" s="8">
        <v>2</v>
      </c>
      <c r="E62" s="12">
        <v>6</v>
      </c>
      <c r="F62" s="8">
        <v>0.48</v>
      </c>
      <c r="G62" s="12">
        <v>53</v>
      </c>
      <c r="H62" s="8">
        <v>3.12</v>
      </c>
      <c r="I62" s="12">
        <v>0</v>
      </c>
    </row>
    <row r="63" spans="2:9" ht="15" customHeight="1" x14ac:dyDescent="0.15">
      <c r="B63" t="s">
        <v>153</v>
      </c>
      <c r="C63" s="12">
        <v>59</v>
      </c>
      <c r="D63" s="8">
        <v>2</v>
      </c>
      <c r="E63" s="12">
        <v>31</v>
      </c>
      <c r="F63" s="8">
        <v>2.5</v>
      </c>
      <c r="G63" s="12">
        <v>28</v>
      </c>
      <c r="H63" s="8">
        <v>1.65</v>
      </c>
      <c r="I63" s="12">
        <v>0</v>
      </c>
    </row>
    <row r="64" spans="2:9" ht="15" customHeight="1" x14ac:dyDescent="0.15">
      <c r="B64" t="s">
        <v>145</v>
      </c>
      <c r="C64" s="12">
        <v>57</v>
      </c>
      <c r="D64" s="8">
        <v>1.93</v>
      </c>
      <c r="E64" s="12">
        <v>28</v>
      </c>
      <c r="F64" s="8">
        <v>2.2599999999999998</v>
      </c>
      <c r="G64" s="12">
        <v>29</v>
      </c>
      <c r="H64" s="8">
        <v>1.71</v>
      </c>
      <c r="I64" s="12">
        <v>0</v>
      </c>
    </row>
    <row r="65" spans="2:9" ht="15" customHeight="1" x14ac:dyDescent="0.15">
      <c r="B65" t="s">
        <v>178</v>
      </c>
      <c r="C65" s="12">
        <v>52</v>
      </c>
      <c r="D65" s="8">
        <v>1.77</v>
      </c>
      <c r="E65" s="12">
        <v>5</v>
      </c>
      <c r="F65" s="8">
        <v>0.4</v>
      </c>
      <c r="G65" s="12">
        <v>47</v>
      </c>
      <c r="H65" s="8">
        <v>2.77</v>
      </c>
      <c r="I65" s="12">
        <v>0</v>
      </c>
    </row>
    <row r="66" spans="2:9" ht="15" customHeight="1" x14ac:dyDescent="0.15">
      <c r="B66" t="s">
        <v>144</v>
      </c>
      <c r="C66" s="12">
        <v>50</v>
      </c>
      <c r="D66" s="8">
        <v>1.7</v>
      </c>
      <c r="E66" s="12">
        <v>10</v>
      </c>
      <c r="F66" s="8">
        <v>0.81</v>
      </c>
      <c r="G66" s="12">
        <v>40</v>
      </c>
      <c r="H66" s="8">
        <v>2.36</v>
      </c>
      <c r="I66" s="12">
        <v>0</v>
      </c>
    </row>
    <row r="67" spans="2:9" ht="15" customHeight="1" x14ac:dyDescent="0.15">
      <c r="B67" t="s">
        <v>149</v>
      </c>
      <c r="C67" s="12">
        <v>47</v>
      </c>
      <c r="D67" s="8">
        <v>1.6</v>
      </c>
      <c r="E67" s="12">
        <v>0</v>
      </c>
      <c r="F67" s="8">
        <v>0</v>
      </c>
      <c r="G67" s="12">
        <v>40</v>
      </c>
      <c r="H67" s="8">
        <v>2.36</v>
      </c>
      <c r="I67" s="12">
        <v>7</v>
      </c>
    </row>
    <row r="68" spans="2:9" ht="15" customHeight="1" x14ac:dyDescent="0.15">
      <c r="B68" t="s">
        <v>174</v>
      </c>
      <c r="C68" s="12">
        <v>45</v>
      </c>
      <c r="D68" s="8">
        <v>1.53</v>
      </c>
      <c r="E68" s="12">
        <v>9</v>
      </c>
      <c r="F68" s="8">
        <v>0.73</v>
      </c>
      <c r="G68" s="12">
        <v>36</v>
      </c>
      <c r="H68" s="8">
        <v>2.12</v>
      </c>
      <c r="I68" s="12">
        <v>0</v>
      </c>
    </row>
    <row r="69" spans="2:9" ht="15" customHeight="1" x14ac:dyDescent="0.15">
      <c r="B69" t="s">
        <v>143</v>
      </c>
      <c r="C69" s="12">
        <v>45</v>
      </c>
      <c r="D69" s="8">
        <v>1.53</v>
      </c>
      <c r="E69" s="12">
        <v>28</v>
      </c>
      <c r="F69" s="8">
        <v>2.2599999999999998</v>
      </c>
      <c r="G69" s="12">
        <v>17</v>
      </c>
      <c r="H69" s="8">
        <v>1</v>
      </c>
      <c r="I69" s="12">
        <v>0</v>
      </c>
    </row>
    <row r="70" spans="2:9" ht="15" customHeight="1" x14ac:dyDescent="0.15">
      <c r="B70" t="s">
        <v>139</v>
      </c>
      <c r="C70" s="12">
        <v>44</v>
      </c>
      <c r="D70" s="8">
        <v>1.49</v>
      </c>
      <c r="E70" s="12">
        <v>6</v>
      </c>
      <c r="F70" s="8">
        <v>0.48</v>
      </c>
      <c r="G70" s="12">
        <v>38</v>
      </c>
      <c r="H70" s="8">
        <v>2.2400000000000002</v>
      </c>
      <c r="I70" s="12">
        <v>0</v>
      </c>
    </row>
    <row r="71" spans="2:9" ht="15" customHeight="1" x14ac:dyDescent="0.15">
      <c r="B71" t="s">
        <v>138</v>
      </c>
      <c r="C71" s="12">
        <v>43</v>
      </c>
      <c r="D71" s="8">
        <v>1.46</v>
      </c>
      <c r="E71" s="12">
        <v>0</v>
      </c>
      <c r="F71" s="8">
        <v>0</v>
      </c>
      <c r="G71" s="12">
        <v>43</v>
      </c>
      <c r="H71" s="8">
        <v>2.5299999999999998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328</v>
      </c>
      <c r="D6" s="8">
        <v>16.93</v>
      </c>
      <c r="E6" s="12">
        <v>49</v>
      </c>
      <c r="F6" s="8">
        <v>7</v>
      </c>
      <c r="G6" s="12">
        <v>279</v>
      </c>
      <c r="H6" s="8">
        <v>22.61</v>
      </c>
      <c r="I6" s="12">
        <v>0</v>
      </c>
    </row>
    <row r="7" spans="2:9" ht="15" customHeight="1" x14ac:dyDescent="0.15">
      <c r="B7" t="s">
        <v>64</v>
      </c>
      <c r="C7" s="12">
        <v>113</v>
      </c>
      <c r="D7" s="8">
        <v>5.83</v>
      </c>
      <c r="E7" s="12">
        <v>15</v>
      </c>
      <c r="F7" s="8">
        <v>2.14</v>
      </c>
      <c r="G7" s="12">
        <v>98</v>
      </c>
      <c r="H7" s="8">
        <v>7.94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30</v>
      </c>
      <c r="D9" s="8">
        <v>1.55</v>
      </c>
      <c r="E9" s="12">
        <v>2</v>
      </c>
      <c r="F9" s="8">
        <v>0.28999999999999998</v>
      </c>
      <c r="G9" s="12">
        <v>28</v>
      </c>
      <c r="H9" s="8">
        <v>2.27</v>
      </c>
      <c r="I9" s="12">
        <v>0</v>
      </c>
    </row>
    <row r="10" spans="2:9" ht="15" customHeight="1" x14ac:dyDescent="0.15">
      <c r="B10" t="s">
        <v>67</v>
      </c>
      <c r="C10" s="12">
        <v>24</v>
      </c>
      <c r="D10" s="8">
        <v>1.24</v>
      </c>
      <c r="E10" s="12">
        <v>9</v>
      </c>
      <c r="F10" s="8">
        <v>1.29</v>
      </c>
      <c r="G10" s="12">
        <v>15</v>
      </c>
      <c r="H10" s="8">
        <v>1.22</v>
      </c>
      <c r="I10" s="12">
        <v>0</v>
      </c>
    </row>
    <row r="11" spans="2:9" ht="15" customHeight="1" x14ac:dyDescent="0.15">
      <c r="B11" t="s">
        <v>68</v>
      </c>
      <c r="C11" s="12">
        <v>413</v>
      </c>
      <c r="D11" s="8">
        <v>21.32</v>
      </c>
      <c r="E11" s="12">
        <v>124</v>
      </c>
      <c r="F11" s="8">
        <v>17.71</v>
      </c>
      <c r="G11" s="12">
        <v>288</v>
      </c>
      <c r="H11" s="8">
        <v>23.34</v>
      </c>
      <c r="I11" s="12">
        <v>1</v>
      </c>
    </row>
    <row r="12" spans="2:9" ht="15" customHeight="1" x14ac:dyDescent="0.15">
      <c r="B12" t="s">
        <v>69</v>
      </c>
      <c r="C12" s="12">
        <v>17</v>
      </c>
      <c r="D12" s="8">
        <v>0.88</v>
      </c>
      <c r="E12" s="12">
        <v>0</v>
      </c>
      <c r="F12" s="8">
        <v>0</v>
      </c>
      <c r="G12" s="12">
        <v>17</v>
      </c>
      <c r="H12" s="8">
        <v>1.38</v>
      </c>
      <c r="I12" s="12">
        <v>0</v>
      </c>
    </row>
    <row r="13" spans="2:9" ht="15" customHeight="1" x14ac:dyDescent="0.15">
      <c r="B13" t="s">
        <v>70</v>
      </c>
      <c r="C13" s="12">
        <v>207</v>
      </c>
      <c r="D13" s="8">
        <v>10.69</v>
      </c>
      <c r="E13" s="12">
        <v>33</v>
      </c>
      <c r="F13" s="8">
        <v>4.71</v>
      </c>
      <c r="G13" s="12">
        <v>174</v>
      </c>
      <c r="H13" s="8">
        <v>14.1</v>
      </c>
      <c r="I13" s="12">
        <v>0</v>
      </c>
    </row>
    <row r="14" spans="2:9" ht="15" customHeight="1" x14ac:dyDescent="0.15">
      <c r="B14" t="s">
        <v>71</v>
      </c>
      <c r="C14" s="12">
        <v>119</v>
      </c>
      <c r="D14" s="8">
        <v>6.14</v>
      </c>
      <c r="E14" s="12">
        <v>48</v>
      </c>
      <c r="F14" s="8">
        <v>6.86</v>
      </c>
      <c r="G14" s="12">
        <v>71</v>
      </c>
      <c r="H14" s="8">
        <v>5.75</v>
      </c>
      <c r="I14" s="12">
        <v>0</v>
      </c>
    </row>
    <row r="15" spans="2:9" ht="15" customHeight="1" x14ac:dyDescent="0.15">
      <c r="B15" t="s">
        <v>72</v>
      </c>
      <c r="C15" s="12">
        <v>193</v>
      </c>
      <c r="D15" s="8">
        <v>9.9600000000000009</v>
      </c>
      <c r="E15" s="12">
        <v>134</v>
      </c>
      <c r="F15" s="8">
        <v>19.14</v>
      </c>
      <c r="G15" s="12">
        <v>58</v>
      </c>
      <c r="H15" s="8">
        <v>4.7</v>
      </c>
      <c r="I15" s="12">
        <v>1</v>
      </c>
    </row>
    <row r="16" spans="2:9" ht="15" customHeight="1" x14ac:dyDescent="0.15">
      <c r="B16" t="s">
        <v>73</v>
      </c>
      <c r="C16" s="12">
        <v>225</v>
      </c>
      <c r="D16" s="8">
        <v>11.62</v>
      </c>
      <c r="E16" s="12">
        <v>143</v>
      </c>
      <c r="F16" s="8">
        <v>20.43</v>
      </c>
      <c r="G16" s="12">
        <v>82</v>
      </c>
      <c r="H16" s="8">
        <v>6.65</v>
      </c>
      <c r="I16" s="12">
        <v>0</v>
      </c>
    </row>
    <row r="17" spans="2:9" ht="15" customHeight="1" x14ac:dyDescent="0.15">
      <c r="B17" t="s">
        <v>74</v>
      </c>
      <c r="C17" s="12">
        <v>82</v>
      </c>
      <c r="D17" s="8">
        <v>4.2300000000000004</v>
      </c>
      <c r="E17" s="12">
        <v>50</v>
      </c>
      <c r="F17" s="8">
        <v>7.14</v>
      </c>
      <c r="G17" s="12">
        <v>32</v>
      </c>
      <c r="H17" s="8">
        <v>2.59</v>
      </c>
      <c r="I17" s="12">
        <v>0</v>
      </c>
    </row>
    <row r="18" spans="2:9" ht="15" customHeight="1" x14ac:dyDescent="0.15">
      <c r="B18" t="s">
        <v>75</v>
      </c>
      <c r="C18" s="12">
        <v>113</v>
      </c>
      <c r="D18" s="8">
        <v>5.83</v>
      </c>
      <c r="E18" s="12">
        <v>76</v>
      </c>
      <c r="F18" s="8">
        <v>10.86</v>
      </c>
      <c r="G18" s="12">
        <v>36</v>
      </c>
      <c r="H18" s="8">
        <v>2.92</v>
      </c>
      <c r="I18" s="12">
        <v>1</v>
      </c>
    </row>
    <row r="19" spans="2:9" ht="15" customHeight="1" x14ac:dyDescent="0.15">
      <c r="B19" t="s">
        <v>76</v>
      </c>
      <c r="C19" s="12">
        <v>73</v>
      </c>
      <c r="D19" s="8">
        <v>3.77</v>
      </c>
      <c r="E19" s="12">
        <v>17</v>
      </c>
      <c r="F19" s="8">
        <v>2.4300000000000002</v>
      </c>
      <c r="G19" s="12">
        <v>56</v>
      </c>
      <c r="H19" s="8">
        <v>4.54</v>
      </c>
      <c r="I19" s="12">
        <v>0</v>
      </c>
    </row>
    <row r="20" spans="2:9" ht="15" customHeight="1" x14ac:dyDescent="0.15">
      <c r="B20" s="9" t="s">
        <v>216</v>
      </c>
      <c r="C20" s="12">
        <f>SUM(LTBL_14113[総数／事業所数])</f>
        <v>1937</v>
      </c>
      <c r="E20" s="12">
        <f>SUBTOTAL(109,LTBL_14113[個人／事業所数])</f>
        <v>700</v>
      </c>
      <c r="G20" s="12">
        <f>SUBTOTAL(109,LTBL_14113[法人／事業所数])</f>
        <v>1234</v>
      </c>
      <c r="I20" s="12">
        <f>SUBTOTAL(109,LTBL_14113[法人以外の団体／事業所数])</f>
        <v>3</v>
      </c>
    </row>
    <row r="21" spans="2:9" ht="15" customHeight="1" x14ac:dyDescent="0.15">
      <c r="E21" s="11">
        <f>LTBL_14113[[#Totals],[個人／事業所数]]/LTBL_14113[[#Totals],[総数／事業所数]]</f>
        <v>0.36138358286009292</v>
      </c>
      <c r="G21" s="11">
        <f>LTBL_14113[[#Totals],[法人／事業所数]]/LTBL_14113[[#Totals],[総数／事業所数]]</f>
        <v>0.63706763035622094</v>
      </c>
      <c r="I21" s="11">
        <f>LTBL_14113[[#Totals],[法人以外の団体／事業所数]]/LTBL_14113[[#Totals],[総数／事業所数]]</f>
        <v>1.5487867836861124E-3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272</v>
      </c>
      <c r="I23" s="10" t="s">
        <v>84</v>
      </c>
    </row>
    <row r="24" spans="2:9" ht="15" customHeight="1" x14ac:dyDescent="0.15">
      <c r="B24" t="s">
        <v>218</v>
      </c>
      <c r="C24">
        <v>7</v>
      </c>
      <c r="D24" t="s">
        <v>217</v>
      </c>
      <c r="E24">
        <v>0</v>
      </c>
      <c r="F24" t="s">
        <v>219</v>
      </c>
      <c r="G24">
        <v>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273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186</v>
      </c>
      <c r="D29" s="8">
        <v>9.6</v>
      </c>
      <c r="E29" s="12">
        <v>130</v>
      </c>
      <c r="F29" s="8">
        <v>18.57</v>
      </c>
      <c r="G29" s="12">
        <v>56</v>
      </c>
      <c r="H29" s="8">
        <v>4.54</v>
      </c>
      <c r="I29" s="12">
        <v>0</v>
      </c>
    </row>
    <row r="30" spans="2:9" ht="15" customHeight="1" x14ac:dyDescent="0.15">
      <c r="B30" t="s">
        <v>99</v>
      </c>
      <c r="C30" s="12">
        <v>175</v>
      </c>
      <c r="D30" s="8">
        <v>9.0299999999999994</v>
      </c>
      <c r="E30" s="12">
        <v>133</v>
      </c>
      <c r="F30" s="8">
        <v>19</v>
      </c>
      <c r="G30" s="12">
        <v>41</v>
      </c>
      <c r="H30" s="8">
        <v>3.32</v>
      </c>
      <c r="I30" s="12">
        <v>1</v>
      </c>
    </row>
    <row r="31" spans="2:9" ht="15" customHeight="1" x14ac:dyDescent="0.15">
      <c r="B31" t="s">
        <v>96</v>
      </c>
      <c r="C31" s="12">
        <v>161</v>
      </c>
      <c r="D31" s="8">
        <v>8.31</v>
      </c>
      <c r="E31" s="12">
        <v>29</v>
      </c>
      <c r="F31" s="8">
        <v>4.1399999999999997</v>
      </c>
      <c r="G31" s="12">
        <v>132</v>
      </c>
      <c r="H31" s="8">
        <v>10.7</v>
      </c>
      <c r="I31" s="12">
        <v>0</v>
      </c>
    </row>
    <row r="32" spans="2:9" ht="15" customHeight="1" x14ac:dyDescent="0.15">
      <c r="B32" t="s">
        <v>85</v>
      </c>
      <c r="C32" s="12">
        <v>121</v>
      </c>
      <c r="D32" s="8">
        <v>6.25</v>
      </c>
      <c r="E32" s="12">
        <v>18</v>
      </c>
      <c r="F32" s="8">
        <v>2.57</v>
      </c>
      <c r="G32" s="12">
        <v>103</v>
      </c>
      <c r="H32" s="8">
        <v>8.35</v>
      </c>
      <c r="I32" s="12">
        <v>0</v>
      </c>
    </row>
    <row r="33" spans="2:9" ht="15" customHeight="1" x14ac:dyDescent="0.15">
      <c r="B33" t="s">
        <v>86</v>
      </c>
      <c r="C33" s="12">
        <v>108</v>
      </c>
      <c r="D33" s="8">
        <v>5.58</v>
      </c>
      <c r="E33" s="12">
        <v>21</v>
      </c>
      <c r="F33" s="8">
        <v>3</v>
      </c>
      <c r="G33" s="12">
        <v>87</v>
      </c>
      <c r="H33" s="8">
        <v>7.05</v>
      </c>
      <c r="I33" s="12">
        <v>0</v>
      </c>
    </row>
    <row r="34" spans="2:9" ht="15" customHeight="1" x14ac:dyDescent="0.15">
      <c r="B34" t="s">
        <v>94</v>
      </c>
      <c r="C34" s="12">
        <v>106</v>
      </c>
      <c r="D34" s="8">
        <v>5.47</v>
      </c>
      <c r="E34" s="12">
        <v>40</v>
      </c>
      <c r="F34" s="8">
        <v>5.71</v>
      </c>
      <c r="G34" s="12">
        <v>66</v>
      </c>
      <c r="H34" s="8">
        <v>5.35</v>
      </c>
      <c r="I34" s="12">
        <v>0</v>
      </c>
    </row>
    <row r="35" spans="2:9" ht="15" customHeight="1" x14ac:dyDescent="0.15">
      <c r="B35" t="s">
        <v>87</v>
      </c>
      <c r="C35" s="12">
        <v>99</v>
      </c>
      <c r="D35" s="8">
        <v>5.1100000000000003</v>
      </c>
      <c r="E35" s="12">
        <v>10</v>
      </c>
      <c r="F35" s="8">
        <v>1.43</v>
      </c>
      <c r="G35" s="12">
        <v>89</v>
      </c>
      <c r="H35" s="8">
        <v>7.21</v>
      </c>
      <c r="I35" s="12">
        <v>0</v>
      </c>
    </row>
    <row r="36" spans="2:9" ht="15" customHeight="1" x14ac:dyDescent="0.15">
      <c r="B36" t="s">
        <v>103</v>
      </c>
      <c r="C36" s="12">
        <v>92</v>
      </c>
      <c r="D36" s="8">
        <v>4.75</v>
      </c>
      <c r="E36" s="12">
        <v>76</v>
      </c>
      <c r="F36" s="8">
        <v>10.86</v>
      </c>
      <c r="G36" s="12">
        <v>16</v>
      </c>
      <c r="H36" s="8">
        <v>1.3</v>
      </c>
      <c r="I36" s="12">
        <v>0</v>
      </c>
    </row>
    <row r="37" spans="2:9" ht="15" customHeight="1" x14ac:dyDescent="0.15">
      <c r="B37" t="s">
        <v>92</v>
      </c>
      <c r="C37" s="12">
        <v>84</v>
      </c>
      <c r="D37" s="8">
        <v>4.34</v>
      </c>
      <c r="E37" s="12">
        <v>43</v>
      </c>
      <c r="F37" s="8">
        <v>6.14</v>
      </c>
      <c r="G37" s="12">
        <v>41</v>
      </c>
      <c r="H37" s="8">
        <v>3.32</v>
      </c>
      <c r="I37" s="12">
        <v>0</v>
      </c>
    </row>
    <row r="38" spans="2:9" ht="15" customHeight="1" x14ac:dyDescent="0.15">
      <c r="B38" t="s">
        <v>102</v>
      </c>
      <c r="C38" s="12">
        <v>82</v>
      </c>
      <c r="D38" s="8">
        <v>4.2300000000000004</v>
      </c>
      <c r="E38" s="12">
        <v>50</v>
      </c>
      <c r="F38" s="8">
        <v>7.14</v>
      </c>
      <c r="G38" s="12">
        <v>32</v>
      </c>
      <c r="H38" s="8">
        <v>2.59</v>
      </c>
      <c r="I38" s="12">
        <v>0</v>
      </c>
    </row>
    <row r="39" spans="2:9" ht="15" customHeight="1" x14ac:dyDescent="0.15">
      <c r="B39" t="s">
        <v>97</v>
      </c>
      <c r="C39" s="12">
        <v>56</v>
      </c>
      <c r="D39" s="8">
        <v>2.89</v>
      </c>
      <c r="E39" s="12">
        <v>33</v>
      </c>
      <c r="F39" s="8">
        <v>4.71</v>
      </c>
      <c r="G39" s="12">
        <v>23</v>
      </c>
      <c r="H39" s="8">
        <v>1.86</v>
      </c>
      <c r="I39" s="12">
        <v>0</v>
      </c>
    </row>
    <row r="40" spans="2:9" ht="15" customHeight="1" x14ac:dyDescent="0.15">
      <c r="B40" t="s">
        <v>98</v>
      </c>
      <c r="C40" s="12">
        <v>55</v>
      </c>
      <c r="D40" s="8">
        <v>2.84</v>
      </c>
      <c r="E40" s="12">
        <v>15</v>
      </c>
      <c r="F40" s="8">
        <v>2.14</v>
      </c>
      <c r="G40" s="12">
        <v>40</v>
      </c>
      <c r="H40" s="8">
        <v>3.24</v>
      </c>
      <c r="I40" s="12">
        <v>0</v>
      </c>
    </row>
    <row r="41" spans="2:9" ht="15" customHeight="1" x14ac:dyDescent="0.15">
      <c r="B41" t="s">
        <v>90</v>
      </c>
      <c r="C41" s="12">
        <v>49</v>
      </c>
      <c r="D41" s="8">
        <v>2.5299999999999998</v>
      </c>
      <c r="E41" s="12">
        <v>1</v>
      </c>
      <c r="F41" s="8">
        <v>0.14000000000000001</v>
      </c>
      <c r="G41" s="12">
        <v>48</v>
      </c>
      <c r="H41" s="8">
        <v>3.89</v>
      </c>
      <c r="I41" s="12">
        <v>0</v>
      </c>
    </row>
    <row r="42" spans="2:9" ht="15" customHeight="1" x14ac:dyDescent="0.15">
      <c r="B42" t="s">
        <v>93</v>
      </c>
      <c r="C42" s="12">
        <v>49</v>
      </c>
      <c r="D42" s="8">
        <v>2.5299999999999998</v>
      </c>
      <c r="E42" s="12">
        <v>15</v>
      </c>
      <c r="F42" s="8">
        <v>2.14</v>
      </c>
      <c r="G42" s="12">
        <v>34</v>
      </c>
      <c r="H42" s="8">
        <v>2.76</v>
      </c>
      <c r="I42" s="12">
        <v>0</v>
      </c>
    </row>
    <row r="43" spans="2:9" ht="15" customHeight="1" x14ac:dyDescent="0.15">
      <c r="B43" t="s">
        <v>91</v>
      </c>
      <c r="C43" s="12">
        <v>38</v>
      </c>
      <c r="D43" s="8">
        <v>1.96</v>
      </c>
      <c r="E43" s="12">
        <v>14</v>
      </c>
      <c r="F43" s="8">
        <v>2</v>
      </c>
      <c r="G43" s="12">
        <v>24</v>
      </c>
      <c r="H43" s="8">
        <v>1.94</v>
      </c>
      <c r="I43" s="12">
        <v>0</v>
      </c>
    </row>
    <row r="44" spans="2:9" ht="15" customHeight="1" x14ac:dyDescent="0.15">
      <c r="B44" t="s">
        <v>95</v>
      </c>
      <c r="C44" s="12">
        <v>35</v>
      </c>
      <c r="D44" s="8">
        <v>1.81</v>
      </c>
      <c r="E44" s="12">
        <v>3</v>
      </c>
      <c r="F44" s="8">
        <v>0.43</v>
      </c>
      <c r="G44" s="12">
        <v>32</v>
      </c>
      <c r="H44" s="8">
        <v>2.59</v>
      </c>
      <c r="I44" s="12">
        <v>0</v>
      </c>
    </row>
    <row r="45" spans="2:9" ht="15" customHeight="1" x14ac:dyDescent="0.15">
      <c r="B45" t="s">
        <v>105</v>
      </c>
      <c r="C45" s="12">
        <v>30</v>
      </c>
      <c r="D45" s="8">
        <v>1.55</v>
      </c>
      <c r="E45" s="12">
        <v>4</v>
      </c>
      <c r="F45" s="8">
        <v>0.56999999999999995</v>
      </c>
      <c r="G45" s="12">
        <v>25</v>
      </c>
      <c r="H45" s="8">
        <v>2.0299999999999998</v>
      </c>
      <c r="I45" s="12">
        <v>1</v>
      </c>
    </row>
    <row r="46" spans="2:9" ht="15" customHeight="1" x14ac:dyDescent="0.15">
      <c r="B46" t="s">
        <v>104</v>
      </c>
      <c r="C46" s="12">
        <v>30</v>
      </c>
      <c r="D46" s="8">
        <v>1.55</v>
      </c>
      <c r="E46" s="12">
        <v>2</v>
      </c>
      <c r="F46" s="8">
        <v>0.28999999999999998</v>
      </c>
      <c r="G46" s="12">
        <v>28</v>
      </c>
      <c r="H46" s="8">
        <v>2.27</v>
      </c>
      <c r="I46" s="12">
        <v>0</v>
      </c>
    </row>
    <row r="47" spans="2:9" ht="15" customHeight="1" x14ac:dyDescent="0.15">
      <c r="B47" t="s">
        <v>106</v>
      </c>
      <c r="C47" s="12">
        <v>27</v>
      </c>
      <c r="D47" s="8">
        <v>1.39</v>
      </c>
      <c r="E47" s="12">
        <v>3</v>
      </c>
      <c r="F47" s="8">
        <v>0.43</v>
      </c>
      <c r="G47" s="12">
        <v>24</v>
      </c>
      <c r="H47" s="8">
        <v>1.94</v>
      </c>
      <c r="I47" s="12">
        <v>0</v>
      </c>
    </row>
    <row r="48" spans="2:9" ht="15" customHeight="1" x14ac:dyDescent="0.15">
      <c r="B48" t="s">
        <v>101</v>
      </c>
      <c r="C48" s="12">
        <v>22</v>
      </c>
      <c r="D48" s="8">
        <v>1.1399999999999999</v>
      </c>
      <c r="E48" s="12">
        <v>7</v>
      </c>
      <c r="F48" s="8">
        <v>1</v>
      </c>
      <c r="G48" s="12">
        <v>15</v>
      </c>
      <c r="H48" s="8">
        <v>1.22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91</v>
      </c>
      <c r="D52" s="8">
        <v>4.7</v>
      </c>
      <c r="E52" s="12">
        <v>66</v>
      </c>
      <c r="F52" s="8">
        <v>9.43</v>
      </c>
      <c r="G52" s="12">
        <v>25</v>
      </c>
      <c r="H52" s="8">
        <v>2.0299999999999998</v>
      </c>
      <c r="I52" s="12">
        <v>0</v>
      </c>
    </row>
    <row r="53" spans="2:9" ht="15" customHeight="1" x14ac:dyDescent="0.15">
      <c r="B53" t="s">
        <v>148</v>
      </c>
      <c r="C53" s="12">
        <v>68</v>
      </c>
      <c r="D53" s="8">
        <v>3.51</v>
      </c>
      <c r="E53" s="12">
        <v>22</v>
      </c>
      <c r="F53" s="8">
        <v>3.14</v>
      </c>
      <c r="G53" s="12">
        <v>46</v>
      </c>
      <c r="H53" s="8">
        <v>3.73</v>
      </c>
      <c r="I53" s="12">
        <v>0</v>
      </c>
    </row>
    <row r="54" spans="2:9" ht="15" customHeight="1" x14ac:dyDescent="0.15">
      <c r="B54" t="s">
        <v>157</v>
      </c>
      <c r="C54" s="12">
        <v>55</v>
      </c>
      <c r="D54" s="8">
        <v>2.84</v>
      </c>
      <c r="E54" s="12">
        <v>46</v>
      </c>
      <c r="F54" s="8">
        <v>6.57</v>
      </c>
      <c r="G54" s="12">
        <v>9</v>
      </c>
      <c r="H54" s="8">
        <v>0.73</v>
      </c>
      <c r="I54" s="12">
        <v>0</v>
      </c>
    </row>
    <row r="55" spans="2:9" ht="15" customHeight="1" x14ac:dyDescent="0.15">
      <c r="B55" t="s">
        <v>149</v>
      </c>
      <c r="C55" s="12">
        <v>52</v>
      </c>
      <c r="D55" s="8">
        <v>2.68</v>
      </c>
      <c r="E55" s="12">
        <v>1</v>
      </c>
      <c r="F55" s="8">
        <v>0.14000000000000001</v>
      </c>
      <c r="G55" s="12">
        <v>51</v>
      </c>
      <c r="H55" s="8">
        <v>4.13</v>
      </c>
      <c r="I55" s="12">
        <v>0</v>
      </c>
    </row>
    <row r="56" spans="2:9" ht="15" customHeight="1" x14ac:dyDescent="0.15">
      <c r="B56" t="s">
        <v>156</v>
      </c>
      <c r="C56" s="12">
        <v>52</v>
      </c>
      <c r="D56" s="8">
        <v>2.68</v>
      </c>
      <c r="E56" s="12">
        <v>34</v>
      </c>
      <c r="F56" s="8">
        <v>4.8600000000000003</v>
      </c>
      <c r="G56" s="12">
        <v>18</v>
      </c>
      <c r="H56" s="8">
        <v>1.46</v>
      </c>
      <c r="I56" s="12">
        <v>0</v>
      </c>
    </row>
    <row r="57" spans="2:9" ht="15" customHeight="1" x14ac:dyDescent="0.15">
      <c r="B57" t="s">
        <v>151</v>
      </c>
      <c r="C57" s="12">
        <v>49</v>
      </c>
      <c r="D57" s="8">
        <v>2.5299999999999998</v>
      </c>
      <c r="E57" s="12">
        <v>42</v>
      </c>
      <c r="F57" s="8">
        <v>6</v>
      </c>
      <c r="G57" s="12">
        <v>7</v>
      </c>
      <c r="H57" s="8">
        <v>0.56999999999999995</v>
      </c>
      <c r="I57" s="12">
        <v>0</v>
      </c>
    </row>
    <row r="58" spans="2:9" ht="15" customHeight="1" x14ac:dyDescent="0.15">
      <c r="B58" t="s">
        <v>150</v>
      </c>
      <c r="C58" s="12">
        <v>47</v>
      </c>
      <c r="D58" s="8">
        <v>2.4300000000000002</v>
      </c>
      <c r="E58" s="12">
        <v>34</v>
      </c>
      <c r="F58" s="8">
        <v>4.8600000000000003</v>
      </c>
      <c r="G58" s="12">
        <v>13</v>
      </c>
      <c r="H58" s="8">
        <v>1.05</v>
      </c>
      <c r="I58" s="12">
        <v>0</v>
      </c>
    </row>
    <row r="59" spans="2:9" ht="15" customHeight="1" x14ac:dyDescent="0.15">
      <c r="B59" t="s">
        <v>154</v>
      </c>
      <c r="C59" s="12">
        <v>47</v>
      </c>
      <c r="D59" s="8">
        <v>2.4300000000000002</v>
      </c>
      <c r="E59" s="12">
        <v>38</v>
      </c>
      <c r="F59" s="8">
        <v>5.43</v>
      </c>
      <c r="G59" s="12">
        <v>9</v>
      </c>
      <c r="H59" s="8">
        <v>0.73</v>
      </c>
      <c r="I59" s="12">
        <v>0</v>
      </c>
    </row>
    <row r="60" spans="2:9" ht="15" customHeight="1" x14ac:dyDescent="0.15">
      <c r="B60" t="s">
        <v>141</v>
      </c>
      <c r="C60" s="12">
        <v>42</v>
      </c>
      <c r="D60" s="8">
        <v>2.17</v>
      </c>
      <c r="E60" s="12">
        <v>1</v>
      </c>
      <c r="F60" s="8">
        <v>0.14000000000000001</v>
      </c>
      <c r="G60" s="12">
        <v>41</v>
      </c>
      <c r="H60" s="8">
        <v>3.32</v>
      </c>
      <c r="I60" s="12">
        <v>0</v>
      </c>
    </row>
    <row r="61" spans="2:9" ht="15" customHeight="1" x14ac:dyDescent="0.15">
      <c r="B61" t="s">
        <v>153</v>
      </c>
      <c r="C61" s="12">
        <v>40</v>
      </c>
      <c r="D61" s="8">
        <v>2.0699999999999998</v>
      </c>
      <c r="E61" s="12">
        <v>19</v>
      </c>
      <c r="F61" s="8">
        <v>2.71</v>
      </c>
      <c r="G61" s="12">
        <v>21</v>
      </c>
      <c r="H61" s="8">
        <v>1.7</v>
      </c>
      <c r="I61" s="12">
        <v>0</v>
      </c>
    </row>
    <row r="62" spans="2:9" ht="15" customHeight="1" x14ac:dyDescent="0.15">
      <c r="B62" t="s">
        <v>140</v>
      </c>
      <c r="C62" s="12">
        <v>38</v>
      </c>
      <c r="D62" s="8">
        <v>1.96</v>
      </c>
      <c r="E62" s="12">
        <v>9</v>
      </c>
      <c r="F62" s="8">
        <v>1.29</v>
      </c>
      <c r="G62" s="12">
        <v>29</v>
      </c>
      <c r="H62" s="8">
        <v>2.35</v>
      </c>
      <c r="I62" s="12">
        <v>0</v>
      </c>
    </row>
    <row r="63" spans="2:9" ht="15" customHeight="1" x14ac:dyDescent="0.15">
      <c r="B63" t="s">
        <v>143</v>
      </c>
      <c r="C63" s="12">
        <v>37</v>
      </c>
      <c r="D63" s="8">
        <v>1.91</v>
      </c>
      <c r="E63" s="12">
        <v>21</v>
      </c>
      <c r="F63" s="8">
        <v>3</v>
      </c>
      <c r="G63" s="12">
        <v>16</v>
      </c>
      <c r="H63" s="8">
        <v>1.3</v>
      </c>
      <c r="I63" s="12">
        <v>0</v>
      </c>
    </row>
    <row r="64" spans="2:9" ht="15" customHeight="1" x14ac:dyDescent="0.15">
      <c r="B64" t="s">
        <v>138</v>
      </c>
      <c r="C64" s="12">
        <v>36</v>
      </c>
      <c r="D64" s="8">
        <v>1.86</v>
      </c>
      <c r="E64" s="12">
        <v>5</v>
      </c>
      <c r="F64" s="8">
        <v>0.71</v>
      </c>
      <c r="G64" s="12">
        <v>31</v>
      </c>
      <c r="H64" s="8">
        <v>2.5099999999999998</v>
      </c>
      <c r="I64" s="12">
        <v>0</v>
      </c>
    </row>
    <row r="65" spans="2:9" ht="15" customHeight="1" x14ac:dyDescent="0.15">
      <c r="B65" t="s">
        <v>152</v>
      </c>
      <c r="C65" s="12">
        <v>35</v>
      </c>
      <c r="D65" s="8">
        <v>1.81</v>
      </c>
      <c r="E65" s="12">
        <v>33</v>
      </c>
      <c r="F65" s="8">
        <v>4.71</v>
      </c>
      <c r="G65" s="12">
        <v>2</v>
      </c>
      <c r="H65" s="8">
        <v>0.16</v>
      </c>
      <c r="I65" s="12">
        <v>0</v>
      </c>
    </row>
    <row r="66" spans="2:9" ht="15" customHeight="1" x14ac:dyDescent="0.15">
      <c r="B66" t="s">
        <v>145</v>
      </c>
      <c r="C66" s="12">
        <v>34</v>
      </c>
      <c r="D66" s="8">
        <v>1.76</v>
      </c>
      <c r="E66" s="12">
        <v>14</v>
      </c>
      <c r="F66" s="8">
        <v>2</v>
      </c>
      <c r="G66" s="12">
        <v>20</v>
      </c>
      <c r="H66" s="8">
        <v>1.62</v>
      </c>
      <c r="I66" s="12">
        <v>0</v>
      </c>
    </row>
    <row r="67" spans="2:9" ht="15" customHeight="1" x14ac:dyDescent="0.15">
      <c r="B67" t="s">
        <v>147</v>
      </c>
      <c r="C67" s="12">
        <v>34</v>
      </c>
      <c r="D67" s="8">
        <v>1.76</v>
      </c>
      <c r="E67" s="12">
        <v>4</v>
      </c>
      <c r="F67" s="8">
        <v>0.56999999999999995</v>
      </c>
      <c r="G67" s="12">
        <v>30</v>
      </c>
      <c r="H67" s="8">
        <v>2.4300000000000002</v>
      </c>
      <c r="I67" s="12">
        <v>0</v>
      </c>
    </row>
    <row r="68" spans="2:9" ht="15" customHeight="1" x14ac:dyDescent="0.15">
      <c r="B68" t="s">
        <v>163</v>
      </c>
      <c r="C68" s="12">
        <v>34</v>
      </c>
      <c r="D68" s="8">
        <v>1.76</v>
      </c>
      <c r="E68" s="12">
        <v>29</v>
      </c>
      <c r="F68" s="8">
        <v>4.1399999999999997</v>
      </c>
      <c r="G68" s="12">
        <v>5</v>
      </c>
      <c r="H68" s="8">
        <v>0.41</v>
      </c>
      <c r="I68" s="12">
        <v>0</v>
      </c>
    </row>
    <row r="69" spans="2:9" ht="15" customHeight="1" x14ac:dyDescent="0.15">
      <c r="B69" t="s">
        <v>146</v>
      </c>
      <c r="C69" s="12">
        <v>30</v>
      </c>
      <c r="D69" s="8">
        <v>1.55</v>
      </c>
      <c r="E69" s="12">
        <v>3</v>
      </c>
      <c r="F69" s="8">
        <v>0.43</v>
      </c>
      <c r="G69" s="12">
        <v>27</v>
      </c>
      <c r="H69" s="8">
        <v>2.19</v>
      </c>
      <c r="I69" s="12">
        <v>0</v>
      </c>
    </row>
    <row r="70" spans="2:9" ht="15" customHeight="1" x14ac:dyDescent="0.15">
      <c r="B70" t="s">
        <v>139</v>
      </c>
      <c r="C70" s="12">
        <v>29</v>
      </c>
      <c r="D70" s="8">
        <v>1.5</v>
      </c>
      <c r="E70" s="12">
        <v>3</v>
      </c>
      <c r="F70" s="8">
        <v>0.43</v>
      </c>
      <c r="G70" s="12">
        <v>26</v>
      </c>
      <c r="H70" s="8">
        <v>2.11</v>
      </c>
      <c r="I70" s="12">
        <v>0</v>
      </c>
    </row>
    <row r="71" spans="2:9" ht="15" customHeight="1" x14ac:dyDescent="0.15">
      <c r="B71" t="s">
        <v>171</v>
      </c>
      <c r="C71" s="12">
        <v>28</v>
      </c>
      <c r="D71" s="8">
        <v>1.45</v>
      </c>
      <c r="E71" s="12">
        <v>4</v>
      </c>
      <c r="F71" s="8">
        <v>0.56999999999999995</v>
      </c>
      <c r="G71" s="12">
        <v>24</v>
      </c>
      <c r="H71" s="8">
        <v>1.94</v>
      </c>
      <c r="I71" s="12">
        <v>0</v>
      </c>
    </row>
    <row r="72" spans="2:9" ht="15" customHeight="1" x14ac:dyDescent="0.15">
      <c r="B72" t="s">
        <v>144</v>
      </c>
      <c r="C72" s="12">
        <v>28</v>
      </c>
      <c r="D72" s="8">
        <v>1.45</v>
      </c>
      <c r="E72" s="12">
        <v>6</v>
      </c>
      <c r="F72" s="8">
        <v>0.86</v>
      </c>
      <c r="G72" s="12">
        <v>22</v>
      </c>
      <c r="H72" s="8">
        <v>1.78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400</v>
      </c>
      <c r="D6" s="8">
        <v>21.06</v>
      </c>
      <c r="E6" s="12">
        <v>66</v>
      </c>
      <c r="F6" s="8">
        <v>7.36</v>
      </c>
      <c r="G6" s="12">
        <v>334</v>
      </c>
      <c r="H6" s="8">
        <v>33.369999999999997</v>
      </c>
      <c r="I6" s="12">
        <v>0</v>
      </c>
    </row>
    <row r="7" spans="2:9" ht="15" customHeight="1" x14ac:dyDescent="0.15">
      <c r="B7" t="s">
        <v>64</v>
      </c>
      <c r="C7" s="12">
        <v>100</v>
      </c>
      <c r="D7" s="8">
        <v>5.27</v>
      </c>
      <c r="E7" s="12">
        <v>17</v>
      </c>
      <c r="F7" s="8">
        <v>1.9</v>
      </c>
      <c r="G7" s="12">
        <v>83</v>
      </c>
      <c r="H7" s="8">
        <v>8.2899999999999991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18</v>
      </c>
      <c r="D9" s="8">
        <v>0.95</v>
      </c>
      <c r="E9" s="12">
        <v>1</v>
      </c>
      <c r="F9" s="8">
        <v>0.11</v>
      </c>
      <c r="G9" s="12">
        <v>17</v>
      </c>
      <c r="H9" s="8">
        <v>1.7</v>
      </c>
      <c r="I9" s="12">
        <v>0</v>
      </c>
    </row>
    <row r="10" spans="2:9" ht="15" customHeight="1" x14ac:dyDescent="0.15">
      <c r="B10" t="s">
        <v>67</v>
      </c>
      <c r="C10" s="12">
        <v>23</v>
      </c>
      <c r="D10" s="8">
        <v>1.21</v>
      </c>
      <c r="E10" s="12">
        <v>13</v>
      </c>
      <c r="F10" s="8">
        <v>1.45</v>
      </c>
      <c r="G10" s="12">
        <v>10</v>
      </c>
      <c r="H10" s="8">
        <v>1</v>
      </c>
      <c r="I10" s="12">
        <v>0</v>
      </c>
    </row>
    <row r="11" spans="2:9" ht="15" customHeight="1" x14ac:dyDescent="0.15">
      <c r="B11" t="s">
        <v>68</v>
      </c>
      <c r="C11" s="12">
        <v>391</v>
      </c>
      <c r="D11" s="8">
        <v>20.59</v>
      </c>
      <c r="E11" s="12">
        <v>177</v>
      </c>
      <c r="F11" s="8">
        <v>19.73</v>
      </c>
      <c r="G11" s="12">
        <v>214</v>
      </c>
      <c r="H11" s="8">
        <v>21.38</v>
      </c>
      <c r="I11" s="12">
        <v>0</v>
      </c>
    </row>
    <row r="12" spans="2:9" ht="15" customHeight="1" x14ac:dyDescent="0.15">
      <c r="B12" t="s">
        <v>69</v>
      </c>
      <c r="C12" s="12">
        <v>11</v>
      </c>
      <c r="D12" s="8">
        <v>0.57999999999999996</v>
      </c>
      <c r="E12" s="12">
        <v>0</v>
      </c>
      <c r="F12" s="8">
        <v>0</v>
      </c>
      <c r="G12" s="12">
        <v>11</v>
      </c>
      <c r="H12" s="8">
        <v>1.1000000000000001</v>
      </c>
      <c r="I12" s="12">
        <v>0</v>
      </c>
    </row>
    <row r="13" spans="2:9" ht="15" customHeight="1" x14ac:dyDescent="0.15">
      <c r="B13" t="s">
        <v>70</v>
      </c>
      <c r="C13" s="12">
        <v>235</v>
      </c>
      <c r="D13" s="8">
        <v>12.37</v>
      </c>
      <c r="E13" s="12">
        <v>122</v>
      </c>
      <c r="F13" s="8">
        <v>13.6</v>
      </c>
      <c r="G13" s="12">
        <v>113</v>
      </c>
      <c r="H13" s="8">
        <v>11.29</v>
      </c>
      <c r="I13" s="12">
        <v>0</v>
      </c>
    </row>
    <row r="14" spans="2:9" ht="15" customHeight="1" x14ac:dyDescent="0.15">
      <c r="B14" t="s">
        <v>71</v>
      </c>
      <c r="C14" s="12">
        <v>79</v>
      </c>
      <c r="D14" s="8">
        <v>4.16</v>
      </c>
      <c r="E14" s="12">
        <v>36</v>
      </c>
      <c r="F14" s="8">
        <v>4.01</v>
      </c>
      <c r="G14" s="12">
        <v>43</v>
      </c>
      <c r="H14" s="8">
        <v>4.3</v>
      </c>
      <c r="I14" s="12">
        <v>0</v>
      </c>
    </row>
    <row r="15" spans="2:9" ht="15" customHeight="1" x14ac:dyDescent="0.15">
      <c r="B15" t="s">
        <v>72</v>
      </c>
      <c r="C15" s="12">
        <v>184</v>
      </c>
      <c r="D15" s="8">
        <v>9.69</v>
      </c>
      <c r="E15" s="12">
        <v>153</v>
      </c>
      <c r="F15" s="8">
        <v>17.059999999999999</v>
      </c>
      <c r="G15" s="12">
        <v>31</v>
      </c>
      <c r="H15" s="8">
        <v>3.1</v>
      </c>
      <c r="I15" s="12">
        <v>0</v>
      </c>
    </row>
    <row r="16" spans="2:9" ht="15" customHeight="1" x14ac:dyDescent="0.15">
      <c r="B16" t="s">
        <v>73</v>
      </c>
      <c r="C16" s="12">
        <v>228</v>
      </c>
      <c r="D16" s="8">
        <v>12.01</v>
      </c>
      <c r="E16" s="12">
        <v>177</v>
      </c>
      <c r="F16" s="8">
        <v>19.73</v>
      </c>
      <c r="G16" s="12">
        <v>51</v>
      </c>
      <c r="H16" s="8">
        <v>5.09</v>
      </c>
      <c r="I16" s="12">
        <v>0</v>
      </c>
    </row>
    <row r="17" spans="2:9" ht="15" customHeight="1" x14ac:dyDescent="0.15">
      <c r="B17" t="s">
        <v>74</v>
      </c>
      <c r="C17" s="12">
        <v>75</v>
      </c>
      <c r="D17" s="8">
        <v>3.95</v>
      </c>
      <c r="E17" s="12">
        <v>57</v>
      </c>
      <c r="F17" s="8">
        <v>6.35</v>
      </c>
      <c r="G17" s="12">
        <v>18</v>
      </c>
      <c r="H17" s="8">
        <v>1.8</v>
      </c>
      <c r="I17" s="12">
        <v>0</v>
      </c>
    </row>
    <row r="18" spans="2:9" ht="15" customHeight="1" x14ac:dyDescent="0.15">
      <c r="B18" t="s">
        <v>75</v>
      </c>
      <c r="C18" s="12">
        <v>97</v>
      </c>
      <c r="D18" s="8">
        <v>5.1100000000000003</v>
      </c>
      <c r="E18" s="12">
        <v>66</v>
      </c>
      <c r="F18" s="8">
        <v>7.36</v>
      </c>
      <c r="G18" s="12">
        <v>30</v>
      </c>
      <c r="H18" s="8">
        <v>3</v>
      </c>
      <c r="I18" s="12">
        <v>1</v>
      </c>
    </row>
    <row r="19" spans="2:9" ht="15" customHeight="1" x14ac:dyDescent="0.15">
      <c r="B19" t="s">
        <v>76</v>
      </c>
      <c r="C19" s="12">
        <v>58</v>
      </c>
      <c r="D19" s="8">
        <v>3.05</v>
      </c>
      <c r="E19" s="12">
        <v>12</v>
      </c>
      <c r="F19" s="8">
        <v>1.34</v>
      </c>
      <c r="G19" s="12">
        <v>46</v>
      </c>
      <c r="H19" s="8">
        <v>4.5999999999999996</v>
      </c>
      <c r="I19" s="12">
        <v>0</v>
      </c>
    </row>
    <row r="20" spans="2:9" ht="15" customHeight="1" x14ac:dyDescent="0.15">
      <c r="B20" s="9" t="s">
        <v>216</v>
      </c>
      <c r="C20" s="12">
        <f>SUM(LTBL_14114[総数／事業所数])</f>
        <v>1899</v>
      </c>
      <c r="E20" s="12">
        <f>SUBTOTAL(109,LTBL_14114[個人／事業所数])</f>
        <v>897</v>
      </c>
      <c r="G20" s="12">
        <f>SUBTOTAL(109,LTBL_14114[法人／事業所数])</f>
        <v>1001</v>
      </c>
      <c r="I20" s="12">
        <f>SUBTOTAL(109,LTBL_14114[法人以外の団体／事業所数])</f>
        <v>1</v>
      </c>
    </row>
    <row r="21" spans="2:9" ht="15" customHeight="1" x14ac:dyDescent="0.15">
      <c r="E21" s="11">
        <f>LTBL_14114[[#Totals],[個人／事業所数]]/LTBL_14114[[#Totals],[総数／事業所数]]</f>
        <v>0.47235387045813587</v>
      </c>
      <c r="G21" s="11">
        <f>LTBL_14114[[#Totals],[法人／事業所数]]/LTBL_14114[[#Totals],[総数／事業所数]]</f>
        <v>0.52711953659820954</v>
      </c>
      <c r="I21" s="11">
        <f>LTBL_14114[[#Totals],[法人以外の団体／事業所数]]/LTBL_14114[[#Totals],[総数／事業所数]]</f>
        <v>5.2659294365455498E-4</v>
      </c>
    </row>
    <row r="23" spans="2:9" ht="33" customHeight="1" x14ac:dyDescent="0.15">
      <c r="B23" t="s">
        <v>215</v>
      </c>
      <c r="C23" s="10" t="s">
        <v>78</v>
      </c>
      <c r="D23" s="10" t="s">
        <v>275</v>
      </c>
      <c r="E23" s="10" t="s">
        <v>80</v>
      </c>
      <c r="F23" s="10" t="s">
        <v>276</v>
      </c>
      <c r="G23" s="10" t="s">
        <v>82</v>
      </c>
      <c r="H23" s="10" t="s">
        <v>277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195</v>
      </c>
      <c r="D29" s="8">
        <v>10.27</v>
      </c>
      <c r="E29" s="12">
        <v>117</v>
      </c>
      <c r="F29" s="8">
        <v>13.04</v>
      </c>
      <c r="G29" s="12">
        <v>78</v>
      </c>
      <c r="H29" s="8">
        <v>7.79</v>
      </c>
      <c r="I29" s="12">
        <v>0</v>
      </c>
    </row>
    <row r="30" spans="2:9" ht="15" customHeight="1" x14ac:dyDescent="0.15">
      <c r="B30" t="s">
        <v>100</v>
      </c>
      <c r="C30" s="12">
        <v>194</v>
      </c>
      <c r="D30" s="8">
        <v>10.220000000000001</v>
      </c>
      <c r="E30" s="12">
        <v>163</v>
      </c>
      <c r="F30" s="8">
        <v>18.170000000000002</v>
      </c>
      <c r="G30" s="12">
        <v>31</v>
      </c>
      <c r="H30" s="8">
        <v>3.1</v>
      </c>
      <c r="I30" s="12">
        <v>0</v>
      </c>
    </row>
    <row r="31" spans="2:9" ht="15" customHeight="1" x14ac:dyDescent="0.15">
      <c r="B31" t="s">
        <v>99</v>
      </c>
      <c r="C31" s="12">
        <v>176</v>
      </c>
      <c r="D31" s="8">
        <v>9.27</v>
      </c>
      <c r="E31" s="12">
        <v>152</v>
      </c>
      <c r="F31" s="8">
        <v>16.95</v>
      </c>
      <c r="G31" s="12">
        <v>24</v>
      </c>
      <c r="H31" s="8">
        <v>2.4</v>
      </c>
      <c r="I31" s="12">
        <v>0</v>
      </c>
    </row>
    <row r="32" spans="2:9" ht="15" customHeight="1" x14ac:dyDescent="0.15">
      <c r="B32" t="s">
        <v>86</v>
      </c>
      <c r="C32" s="12">
        <v>156</v>
      </c>
      <c r="D32" s="8">
        <v>8.2100000000000009</v>
      </c>
      <c r="E32" s="12">
        <v>35</v>
      </c>
      <c r="F32" s="8">
        <v>3.9</v>
      </c>
      <c r="G32" s="12">
        <v>121</v>
      </c>
      <c r="H32" s="8">
        <v>12.09</v>
      </c>
      <c r="I32" s="12">
        <v>0</v>
      </c>
    </row>
    <row r="33" spans="2:9" ht="15" customHeight="1" x14ac:dyDescent="0.15">
      <c r="B33" t="s">
        <v>85</v>
      </c>
      <c r="C33" s="12">
        <v>132</v>
      </c>
      <c r="D33" s="8">
        <v>6.95</v>
      </c>
      <c r="E33" s="12">
        <v>20</v>
      </c>
      <c r="F33" s="8">
        <v>2.23</v>
      </c>
      <c r="G33" s="12">
        <v>112</v>
      </c>
      <c r="H33" s="8">
        <v>11.19</v>
      </c>
      <c r="I33" s="12">
        <v>0</v>
      </c>
    </row>
    <row r="34" spans="2:9" ht="15" customHeight="1" x14ac:dyDescent="0.15">
      <c r="B34" t="s">
        <v>87</v>
      </c>
      <c r="C34" s="12">
        <v>112</v>
      </c>
      <c r="D34" s="8">
        <v>5.9</v>
      </c>
      <c r="E34" s="12">
        <v>11</v>
      </c>
      <c r="F34" s="8">
        <v>1.23</v>
      </c>
      <c r="G34" s="12">
        <v>101</v>
      </c>
      <c r="H34" s="8">
        <v>10.09</v>
      </c>
      <c r="I34" s="12">
        <v>0</v>
      </c>
    </row>
    <row r="35" spans="2:9" ht="15" customHeight="1" x14ac:dyDescent="0.15">
      <c r="B35" t="s">
        <v>94</v>
      </c>
      <c r="C35" s="12">
        <v>96</v>
      </c>
      <c r="D35" s="8">
        <v>5.0599999999999996</v>
      </c>
      <c r="E35" s="12">
        <v>52</v>
      </c>
      <c r="F35" s="8">
        <v>5.8</v>
      </c>
      <c r="G35" s="12">
        <v>44</v>
      </c>
      <c r="H35" s="8">
        <v>4.4000000000000004</v>
      </c>
      <c r="I35" s="12">
        <v>0</v>
      </c>
    </row>
    <row r="36" spans="2:9" ht="15" customHeight="1" x14ac:dyDescent="0.15">
      <c r="B36" t="s">
        <v>92</v>
      </c>
      <c r="C36" s="12">
        <v>87</v>
      </c>
      <c r="D36" s="8">
        <v>4.58</v>
      </c>
      <c r="E36" s="12">
        <v>62</v>
      </c>
      <c r="F36" s="8">
        <v>6.91</v>
      </c>
      <c r="G36" s="12">
        <v>25</v>
      </c>
      <c r="H36" s="8">
        <v>2.5</v>
      </c>
      <c r="I36" s="12">
        <v>0</v>
      </c>
    </row>
    <row r="37" spans="2:9" ht="15" customHeight="1" x14ac:dyDescent="0.15">
      <c r="B37" t="s">
        <v>102</v>
      </c>
      <c r="C37" s="12">
        <v>75</v>
      </c>
      <c r="D37" s="8">
        <v>3.95</v>
      </c>
      <c r="E37" s="12">
        <v>57</v>
      </c>
      <c r="F37" s="8">
        <v>6.35</v>
      </c>
      <c r="G37" s="12">
        <v>18</v>
      </c>
      <c r="H37" s="8">
        <v>1.8</v>
      </c>
      <c r="I37" s="12">
        <v>0</v>
      </c>
    </row>
    <row r="38" spans="2:9" ht="15" customHeight="1" x14ac:dyDescent="0.15">
      <c r="B38" t="s">
        <v>103</v>
      </c>
      <c r="C38" s="12">
        <v>70</v>
      </c>
      <c r="D38" s="8">
        <v>3.69</v>
      </c>
      <c r="E38" s="12">
        <v>65</v>
      </c>
      <c r="F38" s="8">
        <v>7.25</v>
      </c>
      <c r="G38" s="12">
        <v>5</v>
      </c>
      <c r="H38" s="8">
        <v>0.5</v>
      </c>
      <c r="I38" s="12">
        <v>0</v>
      </c>
    </row>
    <row r="39" spans="2:9" ht="15" customHeight="1" x14ac:dyDescent="0.15">
      <c r="B39" t="s">
        <v>93</v>
      </c>
      <c r="C39" s="12">
        <v>64</v>
      </c>
      <c r="D39" s="8">
        <v>3.37</v>
      </c>
      <c r="E39" s="12">
        <v>25</v>
      </c>
      <c r="F39" s="8">
        <v>2.79</v>
      </c>
      <c r="G39" s="12">
        <v>39</v>
      </c>
      <c r="H39" s="8">
        <v>3.9</v>
      </c>
      <c r="I39" s="12">
        <v>0</v>
      </c>
    </row>
    <row r="40" spans="2:9" ht="15" customHeight="1" x14ac:dyDescent="0.15">
      <c r="B40" t="s">
        <v>91</v>
      </c>
      <c r="C40" s="12">
        <v>50</v>
      </c>
      <c r="D40" s="8">
        <v>2.63</v>
      </c>
      <c r="E40" s="12">
        <v>23</v>
      </c>
      <c r="F40" s="8">
        <v>2.56</v>
      </c>
      <c r="G40" s="12">
        <v>27</v>
      </c>
      <c r="H40" s="8">
        <v>2.7</v>
      </c>
      <c r="I40" s="12">
        <v>0</v>
      </c>
    </row>
    <row r="41" spans="2:9" ht="15" customHeight="1" x14ac:dyDescent="0.15">
      <c r="B41" t="s">
        <v>98</v>
      </c>
      <c r="C41" s="12">
        <v>44</v>
      </c>
      <c r="D41" s="8">
        <v>2.3199999999999998</v>
      </c>
      <c r="E41" s="12">
        <v>14</v>
      </c>
      <c r="F41" s="8">
        <v>1.56</v>
      </c>
      <c r="G41" s="12">
        <v>30</v>
      </c>
      <c r="H41" s="8">
        <v>3</v>
      </c>
      <c r="I41" s="12">
        <v>0</v>
      </c>
    </row>
    <row r="42" spans="2:9" ht="15" customHeight="1" x14ac:dyDescent="0.15">
      <c r="B42" t="s">
        <v>97</v>
      </c>
      <c r="C42" s="12">
        <v>34</v>
      </c>
      <c r="D42" s="8">
        <v>1.79</v>
      </c>
      <c r="E42" s="12">
        <v>22</v>
      </c>
      <c r="F42" s="8">
        <v>2.4500000000000002</v>
      </c>
      <c r="G42" s="12">
        <v>12</v>
      </c>
      <c r="H42" s="8">
        <v>1.2</v>
      </c>
      <c r="I42" s="12">
        <v>0</v>
      </c>
    </row>
    <row r="43" spans="2:9" ht="15" customHeight="1" x14ac:dyDescent="0.15">
      <c r="B43" t="s">
        <v>95</v>
      </c>
      <c r="C43" s="12">
        <v>31</v>
      </c>
      <c r="D43" s="8">
        <v>1.63</v>
      </c>
      <c r="E43" s="12">
        <v>4</v>
      </c>
      <c r="F43" s="8">
        <v>0.45</v>
      </c>
      <c r="G43" s="12">
        <v>27</v>
      </c>
      <c r="H43" s="8">
        <v>2.7</v>
      </c>
      <c r="I43" s="12">
        <v>0</v>
      </c>
    </row>
    <row r="44" spans="2:9" ht="15" customHeight="1" x14ac:dyDescent="0.15">
      <c r="B44" t="s">
        <v>108</v>
      </c>
      <c r="C44" s="12">
        <v>27</v>
      </c>
      <c r="D44" s="8">
        <v>1.42</v>
      </c>
      <c r="E44" s="12">
        <v>1</v>
      </c>
      <c r="F44" s="8">
        <v>0.11</v>
      </c>
      <c r="G44" s="12">
        <v>25</v>
      </c>
      <c r="H44" s="8">
        <v>2.5</v>
      </c>
      <c r="I44" s="12">
        <v>1</v>
      </c>
    </row>
    <row r="45" spans="2:9" ht="15" customHeight="1" x14ac:dyDescent="0.15">
      <c r="B45" t="s">
        <v>106</v>
      </c>
      <c r="C45" s="12">
        <v>24</v>
      </c>
      <c r="D45" s="8">
        <v>1.26</v>
      </c>
      <c r="E45" s="12">
        <v>5</v>
      </c>
      <c r="F45" s="8">
        <v>0.56000000000000005</v>
      </c>
      <c r="G45" s="12">
        <v>19</v>
      </c>
      <c r="H45" s="8">
        <v>1.9</v>
      </c>
      <c r="I45" s="12">
        <v>0</v>
      </c>
    </row>
    <row r="46" spans="2:9" ht="15" customHeight="1" x14ac:dyDescent="0.15">
      <c r="B46" t="s">
        <v>101</v>
      </c>
      <c r="C46" s="12">
        <v>23</v>
      </c>
      <c r="D46" s="8">
        <v>1.21</v>
      </c>
      <c r="E46" s="12">
        <v>6</v>
      </c>
      <c r="F46" s="8">
        <v>0.67</v>
      </c>
      <c r="G46" s="12">
        <v>17</v>
      </c>
      <c r="H46" s="8">
        <v>1.7</v>
      </c>
      <c r="I46" s="12">
        <v>0</v>
      </c>
    </row>
    <row r="47" spans="2:9" ht="15" customHeight="1" x14ac:dyDescent="0.15">
      <c r="B47" t="s">
        <v>90</v>
      </c>
      <c r="C47" s="12">
        <v>22</v>
      </c>
      <c r="D47" s="8">
        <v>1.1599999999999999</v>
      </c>
      <c r="E47" s="12">
        <v>1</v>
      </c>
      <c r="F47" s="8">
        <v>0.11</v>
      </c>
      <c r="G47" s="12">
        <v>21</v>
      </c>
      <c r="H47" s="8">
        <v>2.1</v>
      </c>
      <c r="I47" s="12">
        <v>0</v>
      </c>
    </row>
    <row r="48" spans="2:9" ht="15" customHeight="1" x14ac:dyDescent="0.15">
      <c r="B48" t="s">
        <v>117</v>
      </c>
      <c r="C48" s="12">
        <v>20</v>
      </c>
      <c r="D48" s="8">
        <v>1.05</v>
      </c>
      <c r="E48" s="12">
        <v>6</v>
      </c>
      <c r="F48" s="8">
        <v>0.67</v>
      </c>
      <c r="G48" s="12">
        <v>14</v>
      </c>
      <c r="H48" s="8">
        <v>1.4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140</v>
      </c>
      <c r="D52" s="8">
        <v>7.37</v>
      </c>
      <c r="E52" s="12">
        <v>104</v>
      </c>
      <c r="F52" s="8">
        <v>11.59</v>
      </c>
      <c r="G52" s="12">
        <v>36</v>
      </c>
      <c r="H52" s="8">
        <v>3.6</v>
      </c>
      <c r="I52" s="12">
        <v>0</v>
      </c>
    </row>
    <row r="53" spans="2:9" ht="15" customHeight="1" x14ac:dyDescent="0.15">
      <c r="B53" t="s">
        <v>155</v>
      </c>
      <c r="C53" s="12">
        <v>79</v>
      </c>
      <c r="D53" s="8">
        <v>4.16</v>
      </c>
      <c r="E53" s="12">
        <v>67</v>
      </c>
      <c r="F53" s="8">
        <v>7.47</v>
      </c>
      <c r="G53" s="12">
        <v>12</v>
      </c>
      <c r="H53" s="8">
        <v>1.2</v>
      </c>
      <c r="I53" s="12">
        <v>0</v>
      </c>
    </row>
    <row r="54" spans="2:9" ht="15" customHeight="1" x14ac:dyDescent="0.15">
      <c r="B54" t="s">
        <v>154</v>
      </c>
      <c r="C54" s="12">
        <v>66</v>
      </c>
      <c r="D54" s="8">
        <v>3.48</v>
      </c>
      <c r="E54" s="12">
        <v>61</v>
      </c>
      <c r="F54" s="8">
        <v>6.8</v>
      </c>
      <c r="G54" s="12">
        <v>5</v>
      </c>
      <c r="H54" s="8">
        <v>0.5</v>
      </c>
      <c r="I54" s="12">
        <v>0</v>
      </c>
    </row>
    <row r="55" spans="2:9" ht="15" customHeight="1" x14ac:dyDescent="0.15">
      <c r="B55" t="s">
        <v>141</v>
      </c>
      <c r="C55" s="12">
        <v>60</v>
      </c>
      <c r="D55" s="8">
        <v>3.16</v>
      </c>
      <c r="E55" s="12">
        <v>7</v>
      </c>
      <c r="F55" s="8">
        <v>0.78</v>
      </c>
      <c r="G55" s="12">
        <v>53</v>
      </c>
      <c r="H55" s="8">
        <v>5.29</v>
      </c>
      <c r="I55" s="12">
        <v>0</v>
      </c>
    </row>
    <row r="56" spans="2:9" ht="15" customHeight="1" x14ac:dyDescent="0.15">
      <c r="B56" t="s">
        <v>151</v>
      </c>
      <c r="C56" s="12">
        <v>54</v>
      </c>
      <c r="D56" s="8">
        <v>2.84</v>
      </c>
      <c r="E56" s="12">
        <v>50</v>
      </c>
      <c r="F56" s="8">
        <v>5.57</v>
      </c>
      <c r="G56" s="12">
        <v>4</v>
      </c>
      <c r="H56" s="8">
        <v>0.4</v>
      </c>
      <c r="I56" s="12">
        <v>0</v>
      </c>
    </row>
    <row r="57" spans="2:9" ht="15" customHeight="1" x14ac:dyDescent="0.15">
      <c r="B57" t="s">
        <v>156</v>
      </c>
      <c r="C57" s="12">
        <v>50</v>
      </c>
      <c r="D57" s="8">
        <v>2.63</v>
      </c>
      <c r="E57" s="12">
        <v>39</v>
      </c>
      <c r="F57" s="8">
        <v>4.3499999999999996</v>
      </c>
      <c r="G57" s="12">
        <v>11</v>
      </c>
      <c r="H57" s="8">
        <v>1.1000000000000001</v>
      </c>
      <c r="I57" s="12">
        <v>0</v>
      </c>
    </row>
    <row r="58" spans="2:9" ht="15" customHeight="1" x14ac:dyDescent="0.15">
      <c r="B58" t="s">
        <v>152</v>
      </c>
      <c r="C58" s="12">
        <v>49</v>
      </c>
      <c r="D58" s="8">
        <v>2.58</v>
      </c>
      <c r="E58" s="12">
        <v>44</v>
      </c>
      <c r="F58" s="8">
        <v>4.91</v>
      </c>
      <c r="G58" s="12">
        <v>5</v>
      </c>
      <c r="H58" s="8">
        <v>0.5</v>
      </c>
      <c r="I58" s="12">
        <v>0</v>
      </c>
    </row>
    <row r="59" spans="2:9" ht="15" customHeight="1" x14ac:dyDescent="0.15">
      <c r="B59" t="s">
        <v>153</v>
      </c>
      <c r="C59" s="12">
        <v>43</v>
      </c>
      <c r="D59" s="8">
        <v>2.2599999999999998</v>
      </c>
      <c r="E59" s="12">
        <v>30</v>
      </c>
      <c r="F59" s="8">
        <v>3.34</v>
      </c>
      <c r="G59" s="12">
        <v>13</v>
      </c>
      <c r="H59" s="8">
        <v>1.3</v>
      </c>
      <c r="I59" s="12">
        <v>0</v>
      </c>
    </row>
    <row r="60" spans="2:9" ht="15" customHeight="1" x14ac:dyDescent="0.15">
      <c r="B60" t="s">
        <v>157</v>
      </c>
      <c r="C60" s="12">
        <v>43</v>
      </c>
      <c r="D60" s="8">
        <v>2.2599999999999998</v>
      </c>
      <c r="E60" s="12">
        <v>39</v>
      </c>
      <c r="F60" s="8">
        <v>4.3499999999999996</v>
      </c>
      <c r="G60" s="12">
        <v>4</v>
      </c>
      <c r="H60" s="8">
        <v>0.4</v>
      </c>
      <c r="I60" s="12">
        <v>0</v>
      </c>
    </row>
    <row r="61" spans="2:9" ht="15" customHeight="1" x14ac:dyDescent="0.15">
      <c r="B61" t="s">
        <v>139</v>
      </c>
      <c r="C61" s="12">
        <v>40</v>
      </c>
      <c r="D61" s="8">
        <v>2.11</v>
      </c>
      <c r="E61" s="12">
        <v>7</v>
      </c>
      <c r="F61" s="8">
        <v>0.78</v>
      </c>
      <c r="G61" s="12">
        <v>33</v>
      </c>
      <c r="H61" s="8">
        <v>3.3</v>
      </c>
      <c r="I61" s="12">
        <v>0</v>
      </c>
    </row>
    <row r="62" spans="2:9" ht="15" customHeight="1" x14ac:dyDescent="0.15">
      <c r="B62" t="s">
        <v>144</v>
      </c>
      <c r="C62" s="12">
        <v>39</v>
      </c>
      <c r="D62" s="8">
        <v>2.0499999999999998</v>
      </c>
      <c r="E62" s="12">
        <v>10</v>
      </c>
      <c r="F62" s="8">
        <v>1.1100000000000001</v>
      </c>
      <c r="G62" s="12">
        <v>29</v>
      </c>
      <c r="H62" s="8">
        <v>2.9</v>
      </c>
      <c r="I62" s="12">
        <v>0</v>
      </c>
    </row>
    <row r="63" spans="2:9" ht="15" customHeight="1" x14ac:dyDescent="0.15">
      <c r="B63" t="s">
        <v>150</v>
      </c>
      <c r="C63" s="12">
        <v>38</v>
      </c>
      <c r="D63" s="8">
        <v>2</v>
      </c>
      <c r="E63" s="12">
        <v>33</v>
      </c>
      <c r="F63" s="8">
        <v>3.68</v>
      </c>
      <c r="G63" s="12">
        <v>5</v>
      </c>
      <c r="H63" s="8">
        <v>0.5</v>
      </c>
      <c r="I63" s="12">
        <v>0</v>
      </c>
    </row>
    <row r="64" spans="2:9" ht="15" customHeight="1" x14ac:dyDescent="0.15">
      <c r="B64" t="s">
        <v>145</v>
      </c>
      <c r="C64" s="12">
        <v>32</v>
      </c>
      <c r="D64" s="8">
        <v>1.69</v>
      </c>
      <c r="E64" s="12">
        <v>22</v>
      </c>
      <c r="F64" s="8">
        <v>2.4500000000000002</v>
      </c>
      <c r="G64" s="12">
        <v>10</v>
      </c>
      <c r="H64" s="8">
        <v>1</v>
      </c>
      <c r="I64" s="12">
        <v>0</v>
      </c>
    </row>
    <row r="65" spans="2:9" ht="15" customHeight="1" x14ac:dyDescent="0.15">
      <c r="B65" t="s">
        <v>158</v>
      </c>
      <c r="C65" s="12">
        <v>31</v>
      </c>
      <c r="D65" s="8">
        <v>1.63</v>
      </c>
      <c r="E65" s="12">
        <v>4</v>
      </c>
      <c r="F65" s="8">
        <v>0.45</v>
      </c>
      <c r="G65" s="12">
        <v>27</v>
      </c>
      <c r="H65" s="8">
        <v>2.7</v>
      </c>
      <c r="I65" s="12">
        <v>0</v>
      </c>
    </row>
    <row r="66" spans="2:9" ht="15" customHeight="1" x14ac:dyDescent="0.15">
      <c r="B66" t="s">
        <v>140</v>
      </c>
      <c r="C66" s="12">
        <v>31</v>
      </c>
      <c r="D66" s="8">
        <v>1.63</v>
      </c>
      <c r="E66" s="12">
        <v>1</v>
      </c>
      <c r="F66" s="8">
        <v>0.11</v>
      </c>
      <c r="G66" s="12">
        <v>30</v>
      </c>
      <c r="H66" s="8">
        <v>3</v>
      </c>
      <c r="I66" s="12">
        <v>0</v>
      </c>
    </row>
    <row r="67" spans="2:9" ht="15" customHeight="1" x14ac:dyDescent="0.15">
      <c r="B67" t="s">
        <v>138</v>
      </c>
      <c r="C67" s="12">
        <v>30</v>
      </c>
      <c r="D67" s="8">
        <v>1.58</v>
      </c>
      <c r="E67" s="12">
        <v>3</v>
      </c>
      <c r="F67" s="8">
        <v>0.33</v>
      </c>
      <c r="G67" s="12">
        <v>27</v>
      </c>
      <c r="H67" s="8">
        <v>2.7</v>
      </c>
      <c r="I67" s="12">
        <v>0</v>
      </c>
    </row>
    <row r="68" spans="2:9" ht="15" customHeight="1" x14ac:dyDescent="0.15">
      <c r="B68" t="s">
        <v>171</v>
      </c>
      <c r="C68" s="12">
        <v>30</v>
      </c>
      <c r="D68" s="8">
        <v>1.58</v>
      </c>
      <c r="E68" s="12">
        <v>8</v>
      </c>
      <c r="F68" s="8">
        <v>0.89</v>
      </c>
      <c r="G68" s="12">
        <v>22</v>
      </c>
      <c r="H68" s="8">
        <v>2.2000000000000002</v>
      </c>
      <c r="I68" s="12">
        <v>0</v>
      </c>
    </row>
    <row r="69" spans="2:9" ht="15" customHeight="1" x14ac:dyDescent="0.15">
      <c r="B69" t="s">
        <v>143</v>
      </c>
      <c r="C69" s="12">
        <v>30</v>
      </c>
      <c r="D69" s="8">
        <v>1.58</v>
      </c>
      <c r="E69" s="12">
        <v>19</v>
      </c>
      <c r="F69" s="8">
        <v>2.12</v>
      </c>
      <c r="G69" s="12">
        <v>11</v>
      </c>
      <c r="H69" s="8">
        <v>1.1000000000000001</v>
      </c>
      <c r="I69" s="12">
        <v>0</v>
      </c>
    </row>
    <row r="70" spans="2:9" ht="15" customHeight="1" x14ac:dyDescent="0.15">
      <c r="B70" t="s">
        <v>147</v>
      </c>
      <c r="C70" s="12">
        <v>29</v>
      </c>
      <c r="D70" s="8">
        <v>1.53</v>
      </c>
      <c r="E70" s="12">
        <v>8</v>
      </c>
      <c r="F70" s="8">
        <v>0.89</v>
      </c>
      <c r="G70" s="12">
        <v>21</v>
      </c>
      <c r="H70" s="8">
        <v>2.1</v>
      </c>
      <c r="I70" s="12">
        <v>0</v>
      </c>
    </row>
    <row r="71" spans="2:9" ht="15" customHeight="1" x14ac:dyDescent="0.15">
      <c r="B71" t="s">
        <v>174</v>
      </c>
      <c r="C71" s="12">
        <v>27</v>
      </c>
      <c r="D71" s="8">
        <v>1.42</v>
      </c>
      <c r="E71" s="12">
        <v>6</v>
      </c>
      <c r="F71" s="8">
        <v>0.67</v>
      </c>
      <c r="G71" s="12">
        <v>21</v>
      </c>
      <c r="H71" s="8">
        <v>2.1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235</v>
      </c>
      <c r="D6" s="8">
        <v>19.07</v>
      </c>
      <c r="E6" s="12">
        <v>29</v>
      </c>
      <c r="F6" s="8">
        <v>5.81</v>
      </c>
      <c r="G6" s="12">
        <v>206</v>
      </c>
      <c r="H6" s="8">
        <v>28.14</v>
      </c>
      <c r="I6" s="12">
        <v>0</v>
      </c>
    </row>
    <row r="7" spans="2:9" ht="15" customHeight="1" x14ac:dyDescent="0.15">
      <c r="B7" t="s">
        <v>64</v>
      </c>
      <c r="C7" s="12">
        <v>56</v>
      </c>
      <c r="D7" s="8">
        <v>4.55</v>
      </c>
      <c r="E7" s="12">
        <v>7</v>
      </c>
      <c r="F7" s="8">
        <v>1.4</v>
      </c>
      <c r="G7" s="12">
        <v>49</v>
      </c>
      <c r="H7" s="8">
        <v>6.69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20</v>
      </c>
      <c r="D9" s="8">
        <v>1.62</v>
      </c>
      <c r="E9" s="12">
        <v>1</v>
      </c>
      <c r="F9" s="8">
        <v>0.2</v>
      </c>
      <c r="G9" s="12">
        <v>18</v>
      </c>
      <c r="H9" s="8">
        <v>2.46</v>
      </c>
      <c r="I9" s="12">
        <v>1</v>
      </c>
    </row>
    <row r="10" spans="2:9" ht="15" customHeight="1" x14ac:dyDescent="0.15">
      <c r="B10" t="s">
        <v>67</v>
      </c>
      <c r="C10" s="12">
        <v>11</v>
      </c>
      <c r="D10" s="8">
        <v>0.89</v>
      </c>
      <c r="E10" s="12">
        <v>3</v>
      </c>
      <c r="F10" s="8">
        <v>0.6</v>
      </c>
      <c r="G10" s="12">
        <v>8</v>
      </c>
      <c r="H10" s="8">
        <v>1.0900000000000001</v>
      </c>
      <c r="I10" s="12">
        <v>0</v>
      </c>
    </row>
    <row r="11" spans="2:9" ht="15" customHeight="1" x14ac:dyDescent="0.15">
      <c r="B11" t="s">
        <v>68</v>
      </c>
      <c r="C11" s="12">
        <v>221</v>
      </c>
      <c r="D11" s="8">
        <v>17.940000000000001</v>
      </c>
      <c r="E11" s="12">
        <v>79</v>
      </c>
      <c r="F11" s="8">
        <v>15.83</v>
      </c>
      <c r="G11" s="12">
        <v>142</v>
      </c>
      <c r="H11" s="8">
        <v>19.399999999999999</v>
      </c>
      <c r="I11" s="12">
        <v>0</v>
      </c>
    </row>
    <row r="12" spans="2:9" ht="15" customHeight="1" x14ac:dyDescent="0.15">
      <c r="B12" t="s">
        <v>69</v>
      </c>
      <c r="C12" s="12">
        <v>9</v>
      </c>
      <c r="D12" s="8">
        <v>0.73</v>
      </c>
      <c r="E12" s="12">
        <v>0</v>
      </c>
      <c r="F12" s="8">
        <v>0</v>
      </c>
      <c r="G12" s="12">
        <v>9</v>
      </c>
      <c r="H12" s="8">
        <v>1.23</v>
      </c>
      <c r="I12" s="12">
        <v>0</v>
      </c>
    </row>
    <row r="13" spans="2:9" ht="15" customHeight="1" x14ac:dyDescent="0.15">
      <c r="B13" t="s">
        <v>70</v>
      </c>
      <c r="C13" s="12">
        <v>156</v>
      </c>
      <c r="D13" s="8">
        <v>12.66</v>
      </c>
      <c r="E13" s="12">
        <v>64</v>
      </c>
      <c r="F13" s="8">
        <v>12.83</v>
      </c>
      <c r="G13" s="12">
        <v>92</v>
      </c>
      <c r="H13" s="8">
        <v>12.57</v>
      </c>
      <c r="I13" s="12">
        <v>0</v>
      </c>
    </row>
    <row r="14" spans="2:9" ht="15" customHeight="1" x14ac:dyDescent="0.15">
      <c r="B14" t="s">
        <v>71</v>
      </c>
      <c r="C14" s="12">
        <v>99</v>
      </c>
      <c r="D14" s="8">
        <v>8.0399999999999991</v>
      </c>
      <c r="E14" s="12">
        <v>48</v>
      </c>
      <c r="F14" s="8">
        <v>9.6199999999999992</v>
      </c>
      <c r="G14" s="12">
        <v>51</v>
      </c>
      <c r="H14" s="8">
        <v>6.97</v>
      </c>
      <c r="I14" s="12">
        <v>0</v>
      </c>
    </row>
    <row r="15" spans="2:9" ht="15" customHeight="1" x14ac:dyDescent="0.15">
      <c r="B15" t="s">
        <v>72</v>
      </c>
      <c r="C15" s="12">
        <v>68</v>
      </c>
      <c r="D15" s="8">
        <v>5.52</v>
      </c>
      <c r="E15" s="12">
        <v>41</v>
      </c>
      <c r="F15" s="8">
        <v>8.2200000000000006</v>
      </c>
      <c r="G15" s="12">
        <v>27</v>
      </c>
      <c r="H15" s="8">
        <v>3.69</v>
      </c>
      <c r="I15" s="12">
        <v>0</v>
      </c>
    </row>
    <row r="16" spans="2:9" ht="15" customHeight="1" x14ac:dyDescent="0.15">
      <c r="B16" t="s">
        <v>73</v>
      </c>
      <c r="C16" s="12">
        <v>165</v>
      </c>
      <c r="D16" s="8">
        <v>13.39</v>
      </c>
      <c r="E16" s="12">
        <v>120</v>
      </c>
      <c r="F16" s="8">
        <v>24.05</v>
      </c>
      <c r="G16" s="12">
        <v>45</v>
      </c>
      <c r="H16" s="8">
        <v>6.15</v>
      </c>
      <c r="I16" s="12">
        <v>0</v>
      </c>
    </row>
    <row r="17" spans="2:9" ht="15" customHeight="1" x14ac:dyDescent="0.15">
      <c r="B17" t="s">
        <v>74</v>
      </c>
      <c r="C17" s="12">
        <v>59</v>
      </c>
      <c r="D17" s="8">
        <v>4.79</v>
      </c>
      <c r="E17" s="12">
        <v>47</v>
      </c>
      <c r="F17" s="8">
        <v>9.42</v>
      </c>
      <c r="G17" s="12">
        <v>12</v>
      </c>
      <c r="H17" s="8">
        <v>1.64</v>
      </c>
      <c r="I17" s="12">
        <v>0</v>
      </c>
    </row>
    <row r="18" spans="2:9" ht="15" customHeight="1" x14ac:dyDescent="0.15">
      <c r="B18" t="s">
        <v>75</v>
      </c>
      <c r="C18" s="12">
        <v>89</v>
      </c>
      <c r="D18" s="8">
        <v>7.22</v>
      </c>
      <c r="E18" s="12">
        <v>47</v>
      </c>
      <c r="F18" s="8">
        <v>9.42</v>
      </c>
      <c r="G18" s="12">
        <v>42</v>
      </c>
      <c r="H18" s="8">
        <v>5.74</v>
      </c>
      <c r="I18" s="12">
        <v>0</v>
      </c>
    </row>
    <row r="19" spans="2:9" ht="15" customHeight="1" x14ac:dyDescent="0.15">
      <c r="B19" t="s">
        <v>76</v>
      </c>
      <c r="C19" s="12">
        <v>44</v>
      </c>
      <c r="D19" s="8">
        <v>3.57</v>
      </c>
      <c r="E19" s="12">
        <v>13</v>
      </c>
      <c r="F19" s="8">
        <v>2.61</v>
      </c>
      <c r="G19" s="12">
        <v>31</v>
      </c>
      <c r="H19" s="8">
        <v>4.2300000000000004</v>
      </c>
      <c r="I19" s="12">
        <v>0</v>
      </c>
    </row>
    <row r="20" spans="2:9" ht="15" customHeight="1" x14ac:dyDescent="0.15">
      <c r="B20" s="9" t="s">
        <v>216</v>
      </c>
      <c r="C20" s="12">
        <f>SUM(LTBL_14115[総数／事業所数])</f>
        <v>1232</v>
      </c>
      <c r="E20" s="12">
        <f>SUBTOTAL(109,LTBL_14115[個人／事業所数])</f>
        <v>499</v>
      </c>
      <c r="G20" s="12">
        <f>SUBTOTAL(109,LTBL_14115[法人／事業所数])</f>
        <v>732</v>
      </c>
      <c r="I20" s="12">
        <f>SUBTOTAL(109,LTBL_14115[法人以外の団体／事業所数])</f>
        <v>1</v>
      </c>
    </row>
    <row r="21" spans="2:9" ht="15" customHeight="1" x14ac:dyDescent="0.15">
      <c r="E21" s="11">
        <f>LTBL_14115[[#Totals],[個人／事業所数]]/LTBL_14115[[#Totals],[総数／事業所数]]</f>
        <v>0.40503246753246752</v>
      </c>
      <c r="G21" s="11">
        <f>LTBL_14115[[#Totals],[法人／事業所数]]/LTBL_14115[[#Totals],[総数／事業所数]]</f>
        <v>0.5941558441558441</v>
      </c>
      <c r="I21" s="11">
        <f>LTBL_14115[[#Totals],[法人以外の団体／事業所数]]/LTBL_14115[[#Totals],[総数／事業所数]]</f>
        <v>8.1168831168831174E-4</v>
      </c>
    </row>
    <row r="23" spans="2:9" ht="33" customHeight="1" x14ac:dyDescent="0.15">
      <c r="B23" t="s">
        <v>215</v>
      </c>
      <c r="C23" s="10" t="s">
        <v>78</v>
      </c>
      <c r="D23" s="10" t="s">
        <v>279</v>
      </c>
      <c r="E23" s="10" t="s">
        <v>80</v>
      </c>
      <c r="F23" s="10" t="s">
        <v>280</v>
      </c>
      <c r="G23" s="10" t="s">
        <v>82</v>
      </c>
      <c r="H23" s="10" t="s">
        <v>281</v>
      </c>
      <c r="I23" s="10" t="s">
        <v>84</v>
      </c>
    </row>
    <row r="24" spans="2:9" ht="15" customHeight="1" x14ac:dyDescent="0.15">
      <c r="B24" t="s">
        <v>218</v>
      </c>
      <c r="C24">
        <v>1</v>
      </c>
      <c r="D24" t="s">
        <v>217</v>
      </c>
      <c r="E24">
        <v>0</v>
      </c>
      <c r="F24" t="s">
        <v>219</v>
      </c>
      <c r="G24">
        <v>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282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147</v>
      </c>
      <c r="D29" s="8">
        <v>11.93</v>
      </c>
      <c r="E29" s="12">
        <v>115</v>
      </c>
      <c r="F29" s="8">
        <v>23.05</v>
      </c>
      <c r="G29" s="12">
        <v>32</v>
      </c>
      <c r="H29" s="8">
        <v>4.37</v>
      </c>
      <c r="I29" s="12">
        <v>0</v>
      </c>
    </row>
    <row r="30" spans="2:9" ht="15" customHeight="1" x14ac:dyDescent="0.15">
      <c r="B30" t="s">
        <v>96</v>
      </c>
      <c r="C30" s="12">
        <v>136</v>
      </c>
      <c r="D30" s="8">
        <v>11.04</v>
      </c>
      <c r="E30" s="12">
        <v>63</v>
      </c>
      <c r="F30" s="8">
        <v>12.63</v>
      </c>
      <c r="G30" s="12">
        <v>73</v>
      </c>
      <c r="H30" s="8">
        <v>9.9700000000000006</v>
      </c>
      <c r="I30" s="12">
        <v>0</v>
      </c>
    </row>
    <row r="31" spans="2:9" ht="15" customHeight="1" x14ac:dyDescent="0.15">
      <c r="B31" t="s">
        <v>85</v>
      </c>
      <c r="C31" s="12">
        <v>97</v>
      </c>
      <c r="D31" s="8">
        <v>7.87</v>
      </c>
      <c r="E31" s="12">
        <v>5</v>
      </c>
      <c r="F31" s="8">
        <v>1</v>
      </c>
      <c r="G31" s="12">
        <v>92</v>
      </c>
      <c r="H31" s="8">
        <v>12.57</v>
      </c>
      <c r="I31" s="12">
        <v>0</v>
      </c>
    </row>
    <row r="32" spans="2:9" ht="15" customHeight="1" x14ac:dyDescent="0.15">
      <c r="B32" t="s">
        <v>86</v>
      </c>
      <c r="C32" s="12">
        <v>88</v>
      </c>
      <c r="D32" s="8">
        <v>7.14</v>
      </c>
      <c r="E32" s="12">
        <v>20</v>
      </c>
      <c r="F32" s="8">
        <v>4.01</v>
      </c>
      <c r="G32" s="12">
        <v>68</v>
      </c>
      <c r="H32" s="8">
        <v>9.2899999999999991</v>
      </c>
      <c r="I32" s="12">
        <v>0</v>
      </c>
    </row>
    <row r="33" spans="2:9" ht="15" customHeight="1" x14ac:dyDescent="0.15">
      <c r="B33" t="s">
        <v>97</v>
      </c>
      <c r="C33" s="12">
        <v>62</v>
      </c>
      <c r="D33" s="8">
        <v>5.03</v>
      </c>
      <c r="E33" s="12">
        <v>36</v>
      </c>
      <c r="F33" s="8">
        <v>7.21</v>
      </c>
      <c r="G33" s="12">
        <v>26</v>
      </c>
      <c r="H33" s="8">
        <v>3.55</v>
      </c>
      <c r="I33" s="12">
        <v>0</v>
      </c>
    </row>
    <row r="34" spans="2:9" ht="15" customHeight="1" x14ac:dyDescent="0.15">
      <c r="B34" t="s">
        <v>102</v>
      </c>
      <c r="C34" s="12">
        <v>59</v>
      </c>
      <c r="D34" s="8">
        <v>4.79</v>
      </c>
      <c r="E34" s="12">
        <v>47</v>
      </c>
      <c r="F34" s="8">
        <v>9.42</v>
      </c>
      <c r="G34" s="12">
        <v>12</v>
      </c>
      <c r="H34" s="8">
        <v>1.64</v>
      </c>
      <c r="I34" s="12">
        <v>0</v>
      </c>
    </row>
    <row r="35" spans="2:9" ht="15" customHeight="1" x14ac:dyDescent="0.15">
      <c r="B35" t="s">
        <v>103</v>
      </c>
      <c r="C35" s="12">
        <v>58</v>
      </c>
      <c r="D35" s="8">
        <v>4.71</v>
      </c>
      <c r="E35" s="12">
        <v>47</v>
      </c>
      <c r="F35" s="8">
        <v>9.42</v>
      </c>
      <c r="G35" s="12">
        <v>11</v>
      </c>
      <c r="H35" s="8">
        <v>1.5</v>
      </c>
      <c r="I35" s="12">
        <v>0</v>
      </c>
    </row>
    <row r="36" spans="2:9" ht="15" customHeight="1" x14ac:dyDescent="0.15">
      <c r="B36" t="s">
        <v>99</v>
      </c>
      <c r="C36" s="12">
        <v>55</v>
      </c>
      <c r="D36" s="8">
        <v>4.46</v>
      </c>
      <c r="E36" s="12">
        <v>39</v>
      </c>
      <c r="F36" s="8">
        <v>7.82</v>
      </c>
      <c r="G36" s="12">
        <v>16</v>
      </c>
      <c r="H36" s="8">
        <v>2.19</v>
      </c>
      <c r="I36" s="12">
        <v>0</v>
      </c>
    </row>
    <row r="37" spans="2:9" ht="15" customHeight="1" x14ac:dyDescent="0.15">
      <c r="B37" t="s">
        <v>94</v>
      </c>
      <c r="C37" s="12">
        <v>54</v>
      </c>
      <c r="D37" s="8">
        <v>4.38</v>
      </c>
      <c r="E37" s="12">
        <v>20</v>
      </c>
      <c r="F37" s="8">
        <v>4.01</v>
      </c>
      <c r="G37" s="12">
        <v>34</v>
      </c>
      <c r="H37" s="8">
        <v>4.6399999999999997</v>
      </c>
      <c r="I37" s="12">
        <v>0</v>
      </c>
    </row>
    <row r="38" spans="2:9" ht="15" customHeight="1" x14ac:dyDescent="0.15">
      <c r="B38" t="s">
        <v>87</v>
      </c>
      <c r="C38" s="12">
        <v>50</v>
      </c>
      <c r="D38" s="8">
        <v>4.0599999999999996</v>
      </c>
      <c r="E38" s="12">
        <v>4</v>
      </c>
      <c r="F38" s="8">
        <v>0.8</v>
      </c>
      <c r="G38" s="12">
        <v>46</v>
      </c>
      <c r="H38" s="8">
        <v>6.28</v>
      </c>
      <c r="I38" s="12">
        <v>0</v>
      </c>
    </row>
    <row r="39" spans="2:9" ht="15" customHeight="1" x14ac:dyDescent="0.15">
      <c r="B39" t="s">
        <v>92</v>
      </c>
      <c r="C39" s="12">
        <v>45</v>
      </c>
      <c r="D39" s="8">
        <v>3.65</v>
      </c>
      <c r="E39" s="12">
        <v>30</v>
      </c>
      <c r="F39" s="8">
        <v>6.01</v>
      </c>
      <c r="G39" s="12">
        <v>15</v>
      </c>
      <c r="H39" s="8">
        <v>2.0499999999999998</v>
      </c>
      <c r="I39" s="12">
        <v>0</v>
      </c>
    </row>
    <row r="40" spans="2:9" ht="15" customHeight="1" x14ac:dyDescent="0.15">
      <c r="B40" t="s">
        <v>98</v>
      </c>
      <c r="C40" s="12">
        <v>35</v>
      </c>
      <c r="D40" s="8">
        <v>2.84</v>
      </c>
      <c r="E40" s="12">
        <v>12</v>
      </c>
      <c r="F40" s="8">
        <v>2.4</v>
      </c>
      <c r="G40" s="12">
        <v>23</v>
      </c>
      <c r="H40" s="8">
        <v>3.14</v>
      </c>
      <c r="I40" s="12">
        <v>0</v>
      </c>
    </row>
    <row r="41" spans="2:9" ht="15" customHeight="1" x14ac:dyDescent="0.15">
      <c r="B41" t="s">
        <v>93</v>
      </c>
      <c r="C41" s="12">
        <v>31</v>
      </c>
      <c r="D41" s="8">
        <v>2.52</v>
      </c>
      <c r="E41" s="12">
        <v>12</v>
      </c>
      <c r="F41" s="8">
        <v>2.4</v>
      </c>
      <c r="G41" s="12">
        <v>19</v>
      </c>
      <c r="H41" s="8">
        <v>2.6</v>
      </c>
      <c r="I41" s="12">
        <v>0</v>
      </c>
    </row>
    <row r="42" spans="2:9" ht="15" customHeight="1" x14ac:dyDescent="0.15">
      <c r="B42" t="s">
        <v>108</v>
      </c>
      <c r="C42" s="12">
        <v>31</v>
      </c>
      <c r="D42" s="8">
        <v>2.52</v>
      </c>
      <c r="E42" s="12">
        <v>0</v>
      </c>
      <c r="F42" s="8">
        <v>0</v>
      </c>
      <c r="G42" s="12">
        <v>31</v>
      </c>
      <c r="H42" s="8">
        <v>4.2300000000000004</v>
      </c>
      <c r="I42" s="12">
        <v>0</v>
      </c>
    </row>
    <row r="43" spans="2:9" ht="15" customHeight="1" x14ac:dyDescent="0.15">
      <c r="B43" t="s">
        <v>90</v>
      </c>
      <c r="C43" s="12">
        <v>25</v>
      </c>
      <c r="D43" s="8">
        <v>2.0299999999999998</v>
      </c>
      <c r="E43" s="12">
        <v>2</v>
      </c>
      <c r="F43" s="8">
        <v>0.4</v>
      </c>
      <c r="G43" s="12">
        <v>23</v>
      </c>
      <c r="H43" s="8">
        <v>3.14</v>
      </c>
      <c r="I43" s="12">
        <v>0</v>
      </c>
    </row>
    <row r="44" spans="2:9" ht="15" customHeight="1" x14ac:dyDescent="0.15">
      <c r="B44" t="s">
        <v>95</v>
      </c>
      <c r="C44" s="12">
        <v>18</v>
      </c>
      <c r="D44" s="8">
        <v>1.46</v>
      </c>
      <c r="E44" s="12">
        <v>1</v>
      </c>
      <c r="F44" s="8">
        <v>0.2</v>
      </c>
      <c r="G44" s="12">
        <v>17</v>
      </c>
      <c r="H44" s="8">
        <v>2.3199999999999998</v>
      </c>
      <c r="I44" s="12">
        <v>0</v>
      </c>
    </row>
    <row r="45" spans="2:9" ht="15" customHeight="1" x14ac:dyDescent="0.15">
      <c r="B45" t="s">
        <v>113</v>
      </c>
      <c r="C45" s="12">
        <v>18</v>
      </c>
      <c r="D45" s="8">
        <v>1.46</v>
      </c>
      <c r="E45" s="12">
        <v>6</v>
      </c>
      <c r="F45" s="8">
        <v>1.2</v>
      </c>
      <c r="G45" s="12">
        <v>12</v>
      </c>
      <c r="H45" s="8">
        <v>1.64</v>
      </c>
      <c r="I45" s="12">
        <v>0</v>
      </c>
    </row>
    <row r="46" spans="2:9" ht="15" customHeight="1" x14ac:dyDescent="0.15">
      <c r="B46" t="s">
        <v>109</v>
      </c>
      <c r="C46" s="12">
        <v>17</v>
      </c>
      <c r="D46" s="8">
        <v>1.38</v>
      </c>
      <c r="E46" s="12">
        <v>1</v>
      </c>
      <c r="F46" s="8">
        <v>0.2</v>
      </c>
      <c r="G46" s="12">
        <v>15</v>
      </c>
      <c r="H46" s="8">
        <v>2.0499999999999998</v>
      </c>
      <c r="I46" s="12">
        <v>1</v>
      </c>
    </row>
    <row r="47" spans="2:9" ht="15" customHeight="1" x14ac:dyDescent="0.15">
      <c r="B47" t="s">
        <v>105</v>
      </c>
      <c r="C47" s="12">
        <v>14</v>
      </c>
      <c r="D47" s="8">
        <v>1.1399999999999999</v>
      </c>
      <c r="E47" s="12">
        <v>2</v>
      </c>
      <c r="F47" s="8">
        <v>0.4</v>
      </c>
      <c r="G47" s="12">
        <v>12</v>
      </c>
      <c r="H47" s="8">
        <v>1.64</v>
      </c>
      <c r="I47" s="12">
        <v>0</v>
      </c>
    </row>
    <row r="48" spans="2:9" ht="15" customHeight="1" x14ac:dyDescent="0.15">
      <c r="B48" t="s">
        <v>118</v>
      </c>
      <c r="C48" s="12">
        <v>14</v>
      </c>
      <c r="D48" s="8">
        <v>1.1399999999999999</v>
      </c>
      <c r="E48" s="12">
        <v>2</v>
      </c>
      <c r="F48" s="8">
        <v>0.4</v>
      </c>
      <c r="G48" s="12">
        <v>12</v>
      </c>
      <c r="H48" s="8">
        <v>1.64</v>
      </c>
      <c r="I48" s="12">
        <v>0</v>
      </c>
    </row>
    <row r="49" spans="2:9" ht="15" customHeight="1" x14ac:dyDescent="0.15">
      <c r="B49" t="s">
        <v>101</v>
      </c>
      <c r="C49" s="12">
        <v>14</v>
      </c>
      <c r="D49" s="8">
        <v>1.1399999999999999</v>
      </c>
      <c r="E49" s="12">
        <v>4</v>
      </c>
      <c r="F49" s="8">
        <v>0.8</v>
      </c>
      <c r="G49" s="12">
        <v>10</v>
      </c>
      <c r="H49" s="8">
        <v>1.37</v>
      </c>
      <c r="I49" s="12">
        <v>0</v>
      </c>
    </row>
    <row r="52" spans="2:9" ht="33" customHeight="1" x14ac:dyDescent="0.15">
      <c r="B52" t="s">
        <v>283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90</v>
      </c>
      <c r="D53" s="8">
        <v>7.31</v>
      </c>
      <c r="E53" s="12">
        <v>54</v>
      </c>
      <c r="F53" s="8">
        <v>10.82</v>
      </c>
      <c r="G53" s="12">
        <v>36</v>
      </c>
      <c r="H53" s="8">
        <v>4.92</v>
      </c>
      <c r="I53" s="12">
        <v>0</v>
      </c>
    </row>
    <row r="54" spans="2:9" ht="15" customHeight="1" x14ac:dyDescent="0.15">
      <c r="B54" t="s">
        <v>155</v>
      </c>
      <c r="C54" s="12">
        <v>60</v>
      </c>
      <c r="D54" s="8">
        <v>4.87</v>
      </c>
      <c r="E54" s="12">
        <v>54</v>
      </c>
      <c r="F54" s="8">
        <v>10.82</v>
      </c>
      <c r="G54" s="12">
        <v>6</v>
      </c>
      <c r="H54" s="8">
        <v>0.82</v>
      </c>
      <c r="I54" s="12">
        <v>0</v>
      </c>
    </row>
    <row r="55" spans="2:9" ht="15" customHeight="1" x14ac:dyDescent="0.15">
      <c r="B55" t="s">
        <v>154</v>
      </c>
      <c r="C55" s="12">
        <v>48</v>
      </c>
      <c r="D55" s="8">
        <v>3.9</v>
      </c>
      <c r="E55" s="12">
        <v>38</v>
      </c>
      <c r="F55" s="8">
        <v>7.62</v>
      </c>
      <c r="G55" s="12">
        <v>10</v>
      </c>
      <c r="H55" s="8">
        <v>1.37</v>
      </c>
      <c r="I55" s="12">
        <v>0</v>
      </c>
    </row>
    <row r="56" spans="2:9" ht="15" customHeight="1" x14ac:dyDescent="0.15">
      <c r="B56" t="s">
        <v>153</v>
      </c>
      <c r="C56" s="12">
        <v>37</v>
      </c>
      <c r="D56" s="8">
        <v>3</v>
      </c>
      <c r="E56" s="12">
        <v>21</v>
      </c>
      <c r="F56" s="8">
        <v>4.21</v>
      </c>
      <c r="G56" s="12">
        <v>16</v>
      </c>
      <c r="H56" s="8">
        <v>2.19</v>
      </c>
      <c r="I56" s="12">
        <v>0</v>
      </c>
    </row>
    <row r="57" spans="2:9" ht="15" customHeight="1" x14ac:dyDescent="0.15">
      <c r="B57" t="s">
        <v>156</v>
      </c>
      <c r="C57" s="12">
        <v>37</v>
      </c>
      <c r="D57" s="8">
        <v>3</v>
      </c>
      <c r="E57" s="12">
        <v>33</v>
      </c>
      <c r="F57" s="8">
        <v>6.61</v>
      </c>
      <c r="G57" s="12">
        <v>4</v>
      </c>
      <c r="H57" s="8">
        <v>0.55000000000000004</v>
      </c>
      <c r="I57" s="12">
        <v>0</v>
      </c>
    </row>
    <row r="58" spans="2:9" ht="15" customHeight="1" x14ac:dyDescent="0.15">
      <c r="B58" t="s">
        <v>157</v>
      </c>
      <c r="C58" s="12">
        <v>31</v>
      </c>
      <c r="D58" s="8">
        <v>2.52</v>
      </c>
      <c r="E58" s="12">
        <v>26</v>
      </c>
      <c r="F58" s="8">
        <v>5.21</v>
      </c>
      <c r="G58" s="12">
        <v>5</v>
      </c>
      <c r="H58" s="8">
        <v>0.68</v>
      </c>
      <c r="I58" s="12">
        <v>0</v>
      </c>
    </row>
    <row r="59" spans="2:9" ht="15" customHeight="1" x14ac:dyDescent="0.15">
      <c r="B59" t="s">
        <v>141</v>
      </c>
      <c r="C59" s="12">
        <v>27</v>
      </c>
      <c r="D59" s="8">
        <v>2.19</v>
      </c>
      <c r="E59" s="12">
        <v>1</v>
      </c>
      <c r="F59" s="8">
        <v>0.2</v>
      </c>
      <c r="G59" s="12">
        <v>26</v>
      </c>
      <c r="H59" s="8">
        <v>3.55</v>
      </c>
      <c r="I59" s="12">
        <v>0</v>
      </c>
    </row>
    <row r="60" spans="2:9" ht="15" customHeight="1" x14ac:dyDescent="0.15">
      <c r="B60" t="s">
        <v>149</v>
      </c>
      <c r="C60" s="12">
        <v>27</v>
      </c>
      <c r="D60" s="8">
        <v>2.19</v>
      </c>
      <c r="E60" s="12">
        <v>1</v>
      </c>
      <c r="F60" s="8">
        <v>0.2</v>
      </c>
      <c r="G60" s="12">
        <v>26</v>
      </c>
      <c r="H60" s="8">
        <v>3.55</v>
      </c>
      <c r="I60" s="12">
        <v>0</v>
      </c>
    </row>
    <row r="61" spans="2:9" ht="15" customHeight="1" x14ac:dyDescent="0.15">
      <c r="B61" t="s">
        <v>158</v>
      </c>
      <c r="C61" s="12">
        <v>24</v>
      </c>
      <c r="D61" s="8">
        <v>1.95</v>
      </c>
      <c r="E61" s="12">
        <v>0</v>
      </c>
      <c r="F61" s="8">
        <v>0</v>
      </c>
      <c r="G61" s="12">
        <v>24</v>
      </c>
      <c r="H61" s="8">
        <v>3.28</v>
      </c>
      <c r="I61" s="12">
        <v>0</v>
      </c>
    </row>
    <row r="62" spans="2:9" ht="15" customHeight="1" x14ac:dyDescent="0.15">
      <c r="B62" t="s">
        <v>174</v>
      </c>
      <c r="C62" s="12">
        <v>23</v>
      </c>
      <c r="D62" s="8">
        <v>1.87</v>
      </c>
      <c r="E62" s="12">
        <v>3</v>
      </c>
      <c r="F62" s="8">
        <v>0.6</v>
      </c>
      <c r="G62" s="12">
        <v>20</v>
      </c>
      <c r="H62" s="8">
        <v>2.73</v>
      </c>
      <c r="I62" s="12">
        <v>0</v>
      </c>
    </row>
    <row r="63" spans="2:9" ht="15" customHeight="1" x14ac:dyDescent="0.15">
      <c r="B63" t="s">
        <v>139</v>
      </c>
      <c r="C63" s="12">
        <v>22</v>
      </c>
      <c r="D63" s="8">
        <v>1.79</v>
      </c>
      <c r="E63" s="12">
        <v>2</v>
      </c>
      <c r="F63" s="8">
        <v>0.4</v>
      </c>
      <c r="G63" s="12">
        <v>20</v>
      </c>
      <c r="H63" s="8">
        <v>2.73</v>
      </c>
      <c r="I63" s="12">
        <v>0</v>
      </c>
    </row>
    <row r="64" spans="2:9" ht="15" customHeight="1" x14ac:dyDescent="0.15">
      <c r="B64" t="s">
        <v>171</v>
      </c>
      <c r="C64" s="12">
        <v>22</v>
      </c>
      <c r="D64" s="8">
        <v>1.79</v>
      </c>
      <c r="E64" s="12">
        <v>7</v>
      </c>
      <c r="F64" s="8">
        <v>1.4</v>
      </c>
      <c r="G64" s="12">
        <v>15</v>
      </c>
      <c r="H64" s="8">
        <v>2.0499999999999998</v>
      </c>
      <c r="I64" s="12">
        <v>0</v>
      </c>
    </row>
    <row r="65" spans="2:9" ht="15" customHeight="1" x14ac:dyDescent="0.15">
      <c r="B65" t="s">
        <v>163</v>
      </c>
      <c r="C65" s="12">
        <v>21</v>
      </c>
      <c r="D65" s="8">
        <v>1.7</v>
      </c>
      <c r="E65" s="12">
        <v>19</v>
      </c>
      <c r="F65" s="8">
        <v>3.81</v>
      </c>
      <c r="G65" s="12">
        <v>2</v>
      </c>
      <c r="H65" s="8">
        <v>0.27</v>
      </c>
      <c r="I65" s="12">
        <v>0</v>
      </c>
    </row>
    <row r="66" spans="2:9" ht="15" customHeight="1" x14ac:dyDescent="0.15">
      <c r="B66" t="s">
        <v>138</v>
      </c>
      <c r="C66" s="12">
        <v>20</v>
      </c>
      <c r="D66" s="8">
        <v>1.62</v>
      </c>
      <c r="E66" s="12">
        <v>0</v>
      </c>
      <c r="F66" s="8">
        <v>0</v>
      </c>
      <c r="G66" s="12">
        <v>20</v>
      </c>
      <c r="H66" s="8">
        <v>2.73</v>
      </c>
      <c r="I66" s="12">
        <v>0</v>
      </c>
    </row>
    <row r="67" spans="2:9" ht="15" customHeight="1" x14ac:dyDescent="0.15">
      <c r="B67" t="s">
        <v>145</v>
      </c>
      <c r="C67" s="12">
        <v>20</v>
      </c>
      <c r="D67" s="8">
        <v>1.62</v>
      </c>
      <c r="E67" s="12">
        <v>7</v>
      </c>
      <c r="F67" s="8">
        <v>1.4</v>
      </c>
      <c r="G67" s="12">
        <v>13</v>
      </c>
      <c r="H67" s="8">
        <v>1.78</v>
      </c>
      <c r="I67" s="12">
        <v>0</v>
      </c>
    </row>
    <row r="68" spans="2:9" ht="15" customHeight="1" x14ac:dyDescent="0.15">
      <c r="B68" t="s">
        <v>144</v>
      </c>
      <c r="C68" s="12">
        <v>19</v>
      </c>
      <c r="D68" s="8">
        <v>1.54</v>
      </c>
      <c r="E68" s="12">
        <v>7</v>
      </c>
      <c r="F68" s="8">
        <v>1.4</v>
      </c>
      <c r="G68" s="12">
        <v>12</v>
      </c>
      <c r="H68" s="8">
        <v>1.64</v>
      </c>
      <c r="I68" s="12">
        <v>0</v>
      </c>
    </row>
    <row r="69" spans="2:9" ht="15" customHeight="1" x14ac:dyDescent="0.15">
      <c r="B69" t="s">
        <v>159</v>
      </c>
      <c r="C69" s="12">
        <v>19</v>
      </c>
      <c r="D69" s="8">
        <v>1.54</v>
      </c>
      <c r="E69" s="12">
        <v>5</v>
      </c>
      <c r="F69" s="8">
        <v>1</v>
      </c>
      <c r="G69" s="12">
        <v>14</v>
      </c>
      <c r="H69" s="8">
        <v>1.91</v>
      </c>
      <c r="I69" s="12">
        <v>0</v>
      </c>
    </row>
    <row r="70" spans="2:9" ht="15" customHeight="1" x14ac:dyDescent="0.15">
      <c r="B70" t="s">
        <v>160</v>
      </c>
      <c r="C70" s="12">
        <v>16</v>
      </c>
      <c r="D70" s="8">
        <v>1.3</v>
      </c>
      <c r="E70" s="12">
        <v>4</v>
      </c>
      <c r="F70" s="8">
        <v>0.8</v>
      </c>
      <c r="G70" s="12">
        <v>12</v>
      </c>
      <c r="H70" s="8">
        <v>1.64</v>
      </c>
      <c r="I70" s="12">
        <v>0</v>
      </c>
    </row>
    <row r="71" spans="2:9" ht="15" customHeight="1" x14ac:dyDescent="0.15">
      <c r="B71" t="s">
        <v>140</v>
      </c>
      <c r="C71" s="12">
        <v>16</v>
      </c>
      <c r="D71" s="8">
        <v>1.3</v>
      </c>
      <c r="E71" s="12">
        <v>3</v>
      </c>
      <c r="F71" s="8">
        <v>0.6</v>
      </c>
      <c r="G71" s="12">
        <v>13</v>
      </c>
      <c r="H71" s="8">
        <v>1.78</v>
      </c>
      <c r="I71" s="12">
        <v>0</v>
      </c>
    </row>
    <row r="72" spans="2:9" ht="15" customHeight="1" x14ac:dyDescent="0.15">
      <c r="B72" t="s">
        <v>162</v>
      </c>
      <c r="C72" s="12">
        <v>16</v>
      </c>
      <c r="D72" s="8">
        <v>1.3</v>
      </c>
      <c r="E72" s="12">
        <v>16</v>
      </c>
      <c r="F72" s="8">
        <v>3.21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150</v>
      </c>
      <c r="C73" s="12">
        <v>16</v>
      </c>
      <c r="D73" s="8">
        <v>1.3</v>
      </c>
      <c r="E73" s="12">
        <v>11</v>
      </c>
      <c r="F73" s="8">
        <v>2.2000000000000002</v>
      </c>
      <c r="G73" s="12">
        <v>5</v>
      </c>
      <c r="H73" s="8">
        <v>0.68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513</v>
      </c>
      <c r="D6" s="8">
        <v>24.22</v>
      </c>
      <c r="E6" s="12">
        <v>109</v>
      </c>
      <c r="F6" s="8">
        <v>12.34</v>
      </c>
      <c r="G6" s="12">
        <v>404</v>
      </c>
      <c r="H6" s="8">
        <v>32.79</v>
      </c>
      <c r="I6" s="12">
        <v>0</v>
      </c>
    </row>
    <row r="7" spans="2:9" ht="15" customHeight="1" x14ac:dyDescent="0.15">
      <c r="B7" t="s">
        <v>64</v>
      </c>
      <c r="C7" s="12">
        <v>144</v>
      </c>
      <c r="D7" s="8">
        <v>6.8</v>
      </c>
      <c r="E7" s="12">
        <v>32</v>
      </c>
      <c r="F7" s="8">
        <v>3.62</v>
      </c>
      <c r="G7" s="12">
        <v>112</v>
      </c>
      <c r="H7" s="8">
        <v>9.09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27</v>
      </c>
      <c r="D9" s="8">
        <v>1.27</v>
      </c>
      <c r="E9" s="12">
        <v>3</v>
      </c>
      <c r="F9" s="8">
        <v>0.34</v>
      </c>
      <c r="G9" s="12">
        <v>24</v>
      </c>
      <c r="H9" s="8">
        <v>1.95</v>
      </c>
      <c r="I9" s="12">
        <v>0</v>
      </c>
    </row>
    <row r="10" spans="2:9" ht="15" customHeight="1" x14ac:dyDescent="0.15">
      <c r="B10" t="s">
        <v>67</v>
      </c>
      <c r="C10" s="12">
        <v>31</v>
      </c>
      <c r="D10" s="8">
        <v>1.46</v>
      </c>
      <c r="E10" s="12">
        <v>15</v>
      </c>
      <c r="F10" s="8">
        <v>1.7</v>
      </c>
      <c r="G10" s="12">
        <v>16</v>
      </c>
      <c r="H10" s="8">
        <v>1.3</v>
      </c>
      <c r="I10" s="12">
        <v>0</v>
      </c>
    </row>
    <row r="11" spans="2:9" ht="15" customHeight="1" x14ac:dyDescent="0.15">
      <c r="B11" t="s">
        <v>68</v>
      </c>
      <c r="C11" s="12">
        <v>381</v>
      </c>
      <c r="D11" s="8">
        <v>17.989999999999998</v>
      </c>
      <c r="E11" s="12">
        <v>144</v>
      </c>
      <c r="F11" s="8">
        <v>16.309999999999999</v>
      </c>
      <c r="G11" s="12">
        <v>237</v>
      </c>
      <c r="H11" s="8">
        <v>19.239999999999998</v>
      </c>
      <c r="I11" s="12">
        <v>0</v>
      </c>
    </row>
    <row r="12" spans="2:9" ht="15" customHeight="1" x14ac:dyDescent="0.15">
      <c r="B12" t="s">
        <v>69</v>
      </c>
      <c r="C12" s="12">
        <v>11</v>
      </c>
      <c r="D12" s="8">
        <v>0.52</v>
      </c>
      <c r="E12" s="12">
        <v>1</v>
      </c>
      <c r="F12" s="8">
        <v>0.11</v>
      </c>
      <c r="G12" s="12">
        <v>10</v>
      </c>
      <c r="H12" s="8">
        <v>0.81</v>
      </c>
      <c r="I12" s="12">
        <v>0</v>
      </c>
    </row>
    <row r="13" spans="2:9" ht="15" customHeight="1" x14ac:dyDescent="0.15">
      <c r="B13" t="s">
        <v>70</v>
      </c>
      <c r="C13" s="12">
        <v>182</v>
      </c>
      <c r="D13" s="8">
        <v>8.59</v>
      </c>
      <c r="E13" s="12">
        <v>50</v>
      </c>
      <c r="F13" s="8">
        <v>5.66</v>
      </c>
      <c r="G13" s="12">
        <v>131</v>
      </c>
      <c r="H13" s="8">
        <v>10.63</v>
      </c>
      <c r="I13" s="12">
        <v>1</v>
      </c>
    </row>
    <row r="14" spans="2:9" ht="15" customHeight="1" x14ac:dyDescent="0.15">
      <c r="B14" t="s">
        <v>71</v>
      </c>
      <c r="C14" s="12">
        <v>116</v>
      </c>
      <c r="D14" s="8">
        <v>5.48</v>
      </c>
      <c r="E14" s="12">
        <v>49</v>
      </c>
      <c r="F14" s="8">
        <v>5.55</v>
      </c>
      <c r="G14" s="12">
        <v>67</v>
      </c>
      <c r="H14" s="8">
        <v>5.44</v>
      </c>
      <c r="I14" s="12">
        <v>0</v>
      </c>
    </row>
    <row r="15" spans="2:9" ht="15" customHeight="1" x14ac:dyDescent="0.15">
      <c r="B15" t="s">
        <v>72</v>
      </c>
      <c r="C15" s="12">
        <v>143</v>
      </c>
      <c r="D15" s="8">
        <v>6.75</v>
      </c>
      <c r="E15" s="12">
        <v>114</v>
      </c>
      <c r="F15" s="8">
        <v>12.91</v>
      </c>
      <c r="G15" s="12">
        <v>29</v>
      </c>
      <c r="H15" s="8">
        <v>2.35</v>
      </c>
      <c r="I15" s="12">
        <v>0</v>
      </c>
    </row>
    <row r="16" spans="2:9" ht="15" customHeight="1" x14ac:dyDescent="0.15">
      <c r="B16" t="s">
        <v>73</v>
      </c>
      <c r="C16" s="12">
        <v>246</v>
      </c>
      <c r="D16" s="8">
        <v>11.61</v>
      </c>
      <c r="E16" s="12">
        <v>178</v>
      </c>
      <c r="F16" s="8">
        <v>20.16</v>
      </c>
      <c r="G16" s="12">
        <v>68</v>
      </c>
      <c r="H16" s="8">
        <v>5.52</v>
      </c>
      <c r="I16" s="12">
        <v>0</v>
      </c>
    </row>
    <row r="17" spans="2:9" ht="15" customHeight="1" x14ac:dyDescent="0.15">
      <c r="B17" t="s">
        <v>74</v>
      </c>
      <c r="C17" s="12">
        <v>111</v>
      </c>
      <c r="D17" s="8">
        <v>5.24</v>
      </c>
      <c r="E17" s="12">
        <v>81</v>
      </c>
      <c r="F17" s="8">
        <v>9.17</v>
      </c>
      <c r="G17" s="12">
        <v>29</v>
      </c>
      <c r="H17" s="8">
        <v>2.35</v>
      </c>
      <c r="I17" s="12">
        <v>1</v>
      </c>
    </row>
    <row r="18" spans="2:9" ht="15" customHeight="1" x14ac:dyDescent="0.15">
      <c r="B18" t="s">
        <v>75</v>
      </c>
      <c r="C18" s="12">
        <v>132</v>
      </c>
      <c r="D18" s="8">
        <v>6.23</v>
      </c>
      <c r="E18" s="12">
        <v>73</v>
      </c>
      <c r="F18" s="8">
        <v>8.27</v>
      </c>
      <c r="G18" s="12">
        <v>59</v>
      </c>
      <c r="H18" s="8">
        <v>4.79</v>
      </c>
      <c r="I18" s="12">
        <v>0</v>
      </c>
    </row>
    <row r="19" spans="2:9" ht="15" customHeight="1" x14ac:dyDescent="0.15">
      <c r="B19" t="s">
        <v>76</v>
      </c>
      <c r="C19" s="12">
        <v>81</v>
      </c>
      <c r="D19" s="8">
        <v>3.82</v>
      </c>
      <c r="E19" s="12">
        <v>34</v>
      </c>
      <c r="F19" s="8">
        <v>3.85</v>
      </c>
      <c r="G19" s="12">
        <v>46</v>
      </c>
      <c r="H19" s="8">
        <v>3.73</v>
      </c>
      <c r="I19" s="12">
        <v>1</v>
      </c>
    </row>
    <row r="20" spans="2:9" ht="15" customHeight="1" x14ac:dyDescent="0.15">
      <c r="B20" s="9" t="s">
        <v>216</v>
      </c>
      <c r="C20" s="12">
        <f>SUM(LTBL_14116[総数／事業所数])</f>
        <v>2118</v>
      </c>
      <c r="E20" s="12">
        <f>SUBTOTAL(109,LTBL_14116[個人／事業所数])</f>
        <v>883</v>
      </c>
      <c r="G20" s="12">
        <f>SUBTOTAL(109,LTBL_14116[法人／事業所数])</f>
        <v>1232</v>
      </c>
      <c r="I20" s="12">
        <f>SUBTOTAL(109,LTBL_14116[法人以外の団体／事業所数])</f>
        <v>3</v>
      </c>
    </row>
    <row r="21" spans="2:9" ht="15" customHeight="1" x14ac:dyDescent="0.15">
      <c r="E21" s="11">
        <f>LTBL_14116[[#Totals],[個人／事業所数]]/LTBL_14116[[#Totals],[総数／事業所数]]</f>
        <v>0.41690273843248349</v>
      </c>
      <c r="G21" s="11">
        <f>LTBL_14116[[#Totals],[法人／事業所数]]/LTBL_14116[[#Totals],[総数／事業所数]]</f>
        <v>0.58168083097261569</v>
      </c>
      <c r="I21" s="11">
        <f>LTBL_14116[[#Totals],[法人以外の団体／事業所数]]/LTBL_14116[[#Totals],[総数／事業所数]]</f>
        <v>1.4164305949008499E-3</v>
      </c>
    </row>
    <row r="23" spans="2:9" ht="33" customHeight="1" x14ac:dyDescent="0.15">
      <c r="B23" t="s">
        <v>215</v>
      </c>
      <c r="C23" s="10" t="s">
        <v>78</v>
      </c>
      <c r="D23" s="10" t="s">
        <v>285</v>
      </c>
      <c r="E23" s="10" t="s">
        <v>80</v>
      </c>
      <c r="F23" s="10" t="s">
        <v>269</v>
      </c>
      <c r="G23" s="10" t="s">
        <v>82</v>
      </c>
      <c r="H23" s="10" t="s">
        <v>286</v>
      </c>
      <c r="I23" s="10" t="s">
        <v>84</v>
      </c>
    </row>
    <row r="24" spans="2:9" ht="15" customHeight="1" x14ac:dyDescent="0.15">
      <c r="B24" t="s">
        <v>218</v>
      </c>
      <c r="C24">
        <v>15</v>
      </c>
      <c r="D24" t="s">
        <v>217</v>
      </c>
      <c r="E24">
        <v>0</v>
      </c>
      <c r="F24" t="s">
        <v>219</v>
      </c>
      <c r="G24">
        <v>15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210</v>
      </c>
      <c r="D29" s="8">
        <v>9.92</v>
      </c>
      <c r="E29" s="12">
        <v>165</v>
      </c>
      <c r="F29" s="8">
        <v>18.690000000000001</v>
      </c>
      <c r="G29" s="12">
        <v>45</v>
      </c>
      <c r="H29" s="8">
        <v>3.65</v>
      </c>
      <c r="I29" s="12">
        <v>0</v>
      </c>
    </row>
    <row r="30" spans="2:9" ht="15" customHeight="1" x14ac:dyDescent="0.15">
      <c r="B30" t="s">
        <v>85</v>
      </c>
      <c r="C30" s="12">
        <v>205</v>
      </c>
      <c r="D30" s="8">
        <v>9.68</v>
      </c>
      <c r="E30" s="12">
        <v>43</v>
      </c>
      <c r="F30" s="8">
        <v>4.87</v>
      </c>
      <c r="G30" s="12">
        <v>162</v>
      </c>
      <c r="H30" s="8">
        <v>13.15</v>
      </c>
      <c r="I30" s="12">
        <v>0</v>
      </c>
    </row>
    <row r="31" spans="2:9" ht="15" customHeight="1" x14ac:dyDescent="0.15">
      <c r="B31" t="s">
        <v>86</v>
      </c>
      <c r="C31" s="12">
        <v>184</v>
      </c>
      <c r="D31" s="8">
        <v>8.69</v>
      </c>
      <c r="E31" s="12">
        <v>47</v>
      </c>
      <c r="F31" s="8">
        <v>5.32</v>
      </c>
      <c r="G31" s="12">
        <v>137</v>
      </c>
      <c r="H31" s="8">
        <v>11.12</v>
      </c>
      <c r="I31" s="12">
        <v>0</v>
      </c>
    </row>
    <row r="32" spans="2:9" ht="15" customHeight="1" x14ac:dyDescent="0.15">
      <c r="B32" t="s">
        <v>96</v>
      </c>
      <c r="C32" s="12">
        <v>139</v>
      </c>
      <c r="D32" s="8">
        <v>6.56</v>
      </c>
      <c r="E32" s="12">
        <v>49</v>
      </c>
      <c r="F32" s="8">
        <v>5.55</v>
      </c>
      <c r="G32" s="12">
        <v>89</v>
      </c>
      <c r="H32" s="8">
        <v>7.22</v>
      </c>
      <c r="I32" s="12">
        <v>1</v>
      </c>
    </row>
    <row r="33" spans="2:9" ht="15" customHeight="1" x14ac:dyDescent="0.15">
      <c r="B33" t="s">
        <v>99</v>
      </c>
      <c r="C33" s="12">
        <v>135</v>
      </c>
      <c r="D33" s="8">
        <v>6.37</v>
      </c>
      <c r="E33" s="12">
        <v>111</v>
      </c>
      <c r="F33" s="8">
        <v>12.57</v>
      </c>
      <c r="G33" s="12">
        <v>24</v>
      </c>
      <c r="H33" s="8">
        <v>1.95</v>
      </c>
      <c r="I33" s="12">
        <v>0</v>
      </c>
    </row>
    <row r="34" spans="2:9" ht="15" customHeight="1" x14ac:dyDescent="0.15">
      <c r="B34" t="s">
        <v>87</v>
      </c>
      <c r="C34" s="12">
        <v>124</v>
      </c>
      <c r="D34" s="8">
        <v>5.85</v>
      </c>
      <c r="E34" s="12">
        <v>19</v>
      </c>
      <c r="F34" s="8">
        <v>2.15</v>
      </c>
      <c r="G34" s="12">
        <v>105</v>
      </c>
      <c r="H34" s="8">
        <v>8.52</v>
      </c>
      <c r="I34" s="12">
        <v>0</v>
      </c>
    </row>
    <row r="35" spans="2:9" ht="15" customHeight="1" x14ac:dyDescent="0.15">
      <c r="B35" t="s">
        <v>102</v>
      </c>
      <c r="C35" s="12">
        <v>111</v>
      </c>
      <c r="D35" s="8">
        <v>5.24</v>
      </c>
      <c r="E35" s="12">
        <v>81</v>
      </c>
      <c r="F35" s="8">
        <v>9.17</v>
      </c>
      <c r="G35" s="12">
        <v>29</v>
      </c>
      <c r="H35" s="8">
        <v>2.35</v>
      </c>
      <c r="I35" s="12">
        <v>1</v>
      </c>
    </row>
    <row r="36" spans="2:9" ht="15" customHeight="1" x14ac:dyDescent="0.15">
      <c r="B36" t="s">
        <v>94</v>
      </c>
      <c r="C36" s="12">
        <v>97</v>
      </c>
      <c r="D36" s="8">
        <v>4.58</v>
      </c>
      <c r="E36" s="12">
        <v>38</v>
      </c>
      <c r="F36" s="8">
        <v>4.3</v>
      </c>
      <c r="G36" s="12">
        <v>59</v>
      </c>
      <c r="H36" s="8">
        <v>4.79</v>
      </c>
      <c r="I36" s="12">
        <v>0</v>
      </c>
    </row>
    <row r="37" spans="2:9" ht="15" customHeight="1" x14ac:dyDescent="0.15">
      <c r="B37" t="s">
        <v>92</v>
      </c>
      <c r="C37" s="12">
        <v>86</v>
      </c>
      <c r="D37" s="8">
        <v>4.0599999999999996</v>
      </c>
      <c r="E37" s="12">
        <v>52</v>
      </c>
      <c r="F37" s="8">
        <v>5.89</v>
      </c>
      <c r="G37" s="12">
        <v>34</v>
      </c>
      <c r="H37" s="8">
        <v>2.76</v>
      </c>
      <c r="I37" s="12">
        <v>0</v>
      </c>
    </row>
    <row r="38" spans="2:9" ht="15" customHeight="1" x14ac:dyDescent="0.15">
      <c r="B38" t="s">
        <v>103</v>
      </c>
      <c r="C38" s="12">
        <v>86</v>
      </c>
      <c r="D38" s="8">
        <v>4.0599999999999996</v>
      </c>
      <c r="E38" s="12">
        <v>73</v>
      </c>
      <c r="F38" s="8">
        <v>8.27</v>
      </c>
      <c r="G38" s="12">
        <v>13</v>
      </c>
      <c r="H38" s="8">
        <v>1.06</v>
      </c>
      <c r="I38" s="12">
        <v>0</v>
      </c>
    </row>
    <row r="39" spans="2:9" ht="15" customHeight="1" x14ac:dyDescent="0.15">
      <c r="B39" t="s">
        <v>97</v>
      </c>
      <c r="C39" s="12">
        <v>58</v>
      </c>
      <c r="D39" s="8">
        <v>2.74</v>
      </c>
      <c r="E39" s="12">
        <v>31</v>
      </c>
      <c r="F39" s="8">
        <v>3.51</v>
      </c>
      <c r="G39" s="12">
        <v>27</v>
      </c>
      <c r="H39" s="8">
        <v>2.19</v>
      </c>
      <c r="I39" s="12">
        <v>0</v>
      </c>
    </row>
    <row r="40" spans="2:9" ht="15" customHeight="1" x14ac:dyDescent="0.15">
      <c r="B40" t="s">
        <v>98</v>
      </c>
      <c r="C40" s="12">
        <v>57</v>
      </c>
      <c r="D40" s="8">
        <v>2.69</v>
      </c>
      <c r="E40" s="12">
        <v>18</v>
      </c>
      <c r="F40" s="8">
        <v>2.04</v>
      </c>
      <c r="G40" s="12">
        <v>39</v>
      </c>
      <c r="H40" s="8">
        <v>3.17</v>
      </c>
      <c r="I40" s="12">
        <v>0</v>
      </c>
    </row>
    <row r="41" spans="2:9" ht="15" customHeight="1" x14ac:dyDescent="0.15">
      <c r="B41" t="s">
        <v>93</v>
      </c>
      <c r="C41" s="12">
        <v>53</v>
      </c>
      <c r="D41" s="8">
        <v>2.5</v>
      </c>
      <c r="E41" s="12">
        <v>22</v>
      </c>
      <c r="F41" s="8">
        <v>2.4900000000000002</v>
      </c>
      <c r="G41" s="12">
        <v>31</v>
      </c>
      <c r="H41" s="8">
        <v>2.52</v>
      </c>
      <c r="I41" s="12">
        <v>0</v>
      </c>
    </row>
    <row r="42" spans="2:9" ht="15" customHeight="1" x14ac:dyDescent="0.15">
      <c r="B42" t="s">
        <v>108</v>
      </c>
      <c r="C42" s="12">
        <v>46</v>
      </c>
      <c r="D42" s="8">
        <v>2.17</v>
      </c>
      <c r="E42" s="12">
        <v>0</v>
      </c>
      <c r="F42" s="8">
        <v>0</v>
      </c>
      <c r="G42" s="12">
        <v>46</v>
      </c>
      <c r="H42" s="8">
        <v>3.73</v>
      </c>
      <c r="I42" s="12">
        <v>0</v>
      </c>
    </row>
    <row r="43" spans="2:9" ht="15" customHeight="1" x14ac:dyDescent="0.15">
      <c r="B43" t="s">
        <v>117</v>
      </c>
      <c r="C43" s="12">
        <v>42</v>
      </c>
      <c r="D43" s="8">
        <v>1.98</v>
      </c>
      <c r="E43" s="12">
        <v>28</v>
      </c>
      <c r="F43" s="8">
        <v>3.17</v>
      </c>
      <c r="G43" s="12">
        <v>14</v>
      </c>
      <c r="H43" s="8">
        <v>1.1399999999999999</v>
      </c>
      <c r="I43" s="12">
        <v>0</v>
      </c>
    </row>
    <row r="44" spans="2:9" ht="15" customHeight="1" x14ac:dyDescent="0.15">
      <c r="B44" t="s">
        <v>95</v>
      </c>
      <c r="C44" s="12">
        <v>39</v>
      </c>
      <c r="D44" s="8">
        <v>1.84</v>
      </c>
      <c r="E44" s="12">
        <v>1</v>
      </c>
      <c r="F44" s="8">
        <v>0.11</v>
      </c>
      <c r="G44" s="12">
        <v>38</v>
      </c>
      <c r="H44" s="8">
        <v>3.08</v>
      </c>
      <c r="I44" s="12">
        <v>0</v>
      </c>
    </row>
    <row r="45" spans="2:9" ht="15" customHeight="1" x14ac:dyDescent="0.15">
      <c r="B45" t="s">
        <v>90</v>
      </c>
      <c r="C45" s="12">
        <v>35</v>
      </c>
      <c r="D45" s="8">
        <v>1.65</v>
      </c>
      <c r="E45" s="12">
        <v>5</v>
      </c>
      <c r="F45" s="8">
        <v>0.56999999999999995</v>
      </c>
      <c r="G45" s="12">
        <v>30</v>
      </c>
      <c r="H45" s="8">
        <v>2.44</v>
      </c>
      <c r="I45" s="12">
        <v>0</v>
      </c>
    </row>
    <row r="46" spans="2:9" ht="15" customHeight="1" x14ac:dyDescent="0.15">
      <c r="B46" t="s">
        <v>91</v>
      </c>
      <c r="C46" s="12">
        <v>26</v>
      </c>
      <c r="D46" s="8">
        <v>1.23</v>
      </c>
      <c r="E46" s="12">
        <v>12</v>
      </c>
      <c r="F46" s="8">
        <v>1.36</v>
      </c>
      <c r="G46" s="12">
        <v>14</v>
      </c>
      <c r="H46" s="8">
        <v>1.1399999999999999</v>
      </c>
      <c r="I46" s="12">
        <v>0</v>
      </c>
    </row>
    <row r="47" spans="2:9" ht="15" customHeight="1" x14ac:dyDescent="0.15">
      <c r="B47" t="s">
        <v>105</v>
      </c>
      <c r="C47" s="12">
        <v>25</v>
      </c>
      <c r="D47" s="8">
        <v>1.18</v>
      </c>
      <c r="E47" s="12">
        <v>3</v>
      </c>
      <c r="F47" s="8">
        <v>0.34</v>
      </c>
      <c r="G47" s="12">
        <v>22</v>
      </c>
      <c r="H47" s="8">
        <v>1.79</v>
      </c>
      <c r="I47" s="12">
        <v>0</v>
      </c>
    </row>
    <row r="48" spans="2:9" ht="15" customHeight="1" x14ac:dyDescent="0.15">
      <c r="B48" t="s">
        <v>88</v>
      </c>
      <c r="C48" s="12">
        <v>24</v>
      </c>
      <c r="D48" s="8">
        <v>1.1299999999999999</v>
      </c>
      <c r="E48" s="12">
        <v>4</v>
      </c>
      <c r="F48" s="8">
        <v>0.45</v>
      </c>
      <c r="G48" s="12">
        <v>20</v>
      </c>
      <c r="H48" s="8">
        <v>1.62</v>
      </c>
      <c r="I48" s="12">
        <v>0</v>
      </c>
    </row>
    <row r="49" spans="2:9" ht="15" customHeight="1" x14ac:dyDescent="0.15">
      <c r="B49" t="s">
        <v>106</v>
      </c>
      <c r="C49" s="12">
        <v>24</v>
      </c>
      <c r="D49" s="8">
        <v>1.1299999999999999</v>
      </c>
      <c r="E49" s="12">
        <v>6</v>
      </c>
      <c r="F49" s="8">
        <v>0.68</v>
      </c>
      <c r="G49" s="12">
        <v>18</v>
      </c>
      <c r="H49" s="8">
        <v>1.46</v>
      </c>
      <c r="I49" s="12">
        <v>0</v>
      </c>
    </row>
    <row r="50" spans="2:9" ht="15" customHeight="1" x14ac:dyDescent="0.15">
      <c r="B50" t="s">
        <v>101</v>
      </c>
      <c r="C50" s="12">
        <v>24</v>
      </c>
      <c r="D50" s="8">
        <v>1.1299999999999999</v>
      </c>
      <c r="E50" s="12">
        <v>9</v>
      </c>
      <c r="F50" s="8">
        <v>1.02</v>
      </c>
      <c r="G50" s="12">
        <v>15</v>
      </c>
      <c r="H50" s="8">
        <v>1.22</v>
      </c>
      <c r="I50" s="12">
        <v>0</v>
      </c>
    </row>
    <row r="53" spans="2:9" ht="33" customHeight="1" x14ac:dyDescent="0.15">
      <c r="B53" t="s">
        <v>287</v>
      </c>
      <c r="C53" s="10" t="s">
        <v>78</v>
      </c>
      <c r="D53" s="10" t="s">
        <v>79</v>
      </c>
      <c r="E53" s="10" t="s">
        <v>80</v>
      </c>
      <c r="F53" s="10" t="s">
        <v>81</v>
      </c>
      <c r="G53" s="10" t="s">
        <v>82</v>
      </c>
      <c r="H53" s="10" t="s">
        <v>83</v>
      </c>
      <c r="I53" s="10" t="s">
        <v>84</v>
      </c>
    </row>
    <row r="54" spans="2:9" ht="15" customHeight="1" x14ac:dyDescent="0.15">
      <c r="B54" t="s">
        <v>155</v>
      </c>
      <c r="C54" s="12">
        <v>100</v>
      </c>
      <c r="D54" s="8">
        <v>4.72</v>
      </c>
      <c r="E54" s="12">
        <v>86</v>
      </c>
      <c r="F54" s="8">
        <v>9.74</v>
      </c>
      <c r="G54" s="12">
        <v>14</v>
      </c>
      <c r="H54" s="8">
        <v>1.1399999999999999</v>
      </c>
      <c r="I54" s="12">
        <v>0</v>
      </c>
    </row>
    <row r="55" spans="2:9" ht="15" customHeight="1" x14ac:dyDescent="0.15">
      <c r="B55" t="s">
        <v>148</v>
      </c>
      <c r="C55" s="12">
        <v>82</v>
      </c>
      <c r="D55" s="8">
        <v>3.87</v>
      </c>
      <c r="E55" s="12">
        <v>42</v>
      </c>
      <c r="F55" s="8">
        <v>4.76</v>
      </c>
      <c r="G55" s="12">
        <v>40</v>
      </c>
      <c r="H55" s="8">
        <v>3.25</v>
      </c>
      <c r="I55" s="12">
        <v>0</v>
      </c>
    </row>
    <row r="56" spans="2:9" ht="15" customHeight="1" x14ac:dyDescent="0.15">
      <c r="B56" t="s">
        <v>156</v>
      </c>
      <c r="C56" s="12">
        <v>70</v>
      </c>
      <c r="D56" s="8">
        <v>3.31</v>
      </c>
      <c r="E56" s="12">
        <v>54</v>
      </c>
      <c r="F56" s="8">
        <v>6.12</v>
      </c>
      <c r="G56" s="12">
        <v>16</v>
      </c>
      <c r="H56" s="8">
        <v>1.3</v>
      </c>
      <c r="I56" s="12">
        <v>0</v>
      </c>
    </row>
    <row r="57" spans="2:9" ht="15" customHeight="1" x14ac:dyDescent="0.15">
      <c r="B57" t="s">
        <v>154</v>
      </c>
      <c r="C57" s="12">
        <v>60</v>
      </c>
      <c r="D57" s="8">
        <v>2.83</v>
      </c>
      <c r="E57" s="12">
        <v>55</v>
      </c>
      <c r="F57" s="8">
        <v>6.23</v>
      </c>
      <c r="G57" s="12">
        <v>5</v>
      </c>
      <c r="H57" s="8">
        <v>0.41</v>
      </c>
      <c r="I57" s="12">
        <v>0</v>
      </c>
    </row>
    <row r="58" spans="2:9" ht="15" customHeight="1" x14ac:dyDescent="0.15">
      <c r="B58" t="s">
        <v>141</v>
      </c>
      <c r="C58" s="12">
        <v>59</v>
      </c>
      <c r="D58" s="8">
        <v>2.79</v>
      </c>
      <c r="E58" s="12">
        <v>8</v>
      </c>
      <c r="F58" s="8">
        <v>0.91</v>
      </c>
      <c r="G58" s="12">
        <v>51</v>
      </c>
      <c r="H58" s="8">
        <v>4.1399999999999997</v>
      </c>
      <c r="I58" s="12">
        <v>0</v>
      </c>
    </row>
    <row r="59" spans="2:9" ht="15" customHeight="1" x14ac:dyDescent="0.15">
      <c r="B59" t="s">
        <v>157</v>
      </c>
      <c r="C59" s="12">
        <v>55</v>
      </c>
      <c r="D59" s="8">
        <v>2.6</v>
      </c>
      <c r="E59" s="12">
        <v>47</v>
      </c>
      <c r="F59" s="8">
        <v>5.32</v>
      </c>
      <c r="G59" s="12">
        <v>8</v>
      </c>
      <c r="H59" s="8">
        <v>0.65</v>
      </c>
      <c r="I59" s="12">
        <v>0</v>
      </c>
    </row>
    <row r="60" spans="2:9" ht="15" customHeight="1" x14ac:dyDescent="0.15">
      <c r="B60" t="s">
        <v>138</v>
      </c>
      <c r="C60" s="12">
        <v>53</v>
      </c>
      <c r="D60" s="8">
        <v>2.5</v>
      </c>
      <c r="E60" s="12">
        <v>6</v>
      </c>
      <c r="F60" s="8">
        <v>0.68</v>
      </c>
      <c r="G60" s="12">
        <v>47</v>
      </c>
      <c r="H60" s="8">
        <v>3.81</v>
      </c>
      <c r="I60" s="12">
        <v>0</v>
      </c>
    </row>
    <row r="61" spans="2:9" ht="15" customHeight="1" x14ac:dyDescent="0.15">
      <c r="B61" t="s">
        <v>158</v>
      </c>
      <c r="C61" s="12">
        <v>53</v>
      </c>
      <c r="D61" s="8">
        <v>2.5</v>
      </c>
      <c r="E61" s="12">
        <v>15</v>
      </c>
      <c r="F61" s="8">
        <v>1.7</v>
      </c>
      <c r="G61" s="12">
        <v>38</v>
      </c>
      <c r="H61" s="8">
        <v>3.08</v>
      </c>
      <c r="I61" s="12">
        <v>0</v>
      </c>
    </row>
    <row r="62" spans="2:9" ht="15" customHeight="1" x14ac:dyDescent="0.15">
      <c r="B62" t="s">
        <v>140</v>
      </c>
      <c r="C62" s="12">
        <v>49</v>
      </c>
      <c r="D62" s="8">
        <v>2.31</v>
      </c>
      <c r="E62" s="12">
        <v>11</v>
      </c>
      <c r="F62" s="8">
        <v>1.25</v>
      </c>
      <c r="G62" s="12">
        <v>38</v>
      </c>
      <c r="H62" s="8">
        <v>3.08</v>
      </c>
      <c r="I62" s="12">
        <v>0</v>
      </c>
    </row>
    <row r="63" spans="2:9" ht="15" customHeight="1" x14ac:dyDescent="0.15">
      <c r="B63" t="s">
        <v>174</v>
      </c>
      <c r="C63" s="12">
        <v>48</v>
      </c>
      <c r="D63" s="8">
        <v>2.27</v>
      </c>
      <c r="E63" s="12">
        <v>18</v>
      </c>
      <c r="F63" s="8">
        <v>2.04</v>
      </c>
      <c r="G63" s="12">
        <v>30</v>
      </c>
      <c r="H63" s="8">
        <v>2.44</v>
      </c>
      <c r="I63" s="12">
        <v>0</v>
      </c>
    </row>
    <row r="64" spans="2:9" ht="15" customHeight="1" x14ac:dyDescent="0.15">
      <c r="B64" t="s">
        <v>139</v>
      </c>
      <c r="C64" s="12">
        <v>44</v>
      </c>
      <c r="D64" s="8">
        <v>2.08</v>
      </c>
      <c r="E64" s="12">
        <v>3</v>
      </c>
      <c r="F64" s="8">
        <v>0.34</v>
      </c>
      <c r="G64" s="12">
        <v>41</v>
      </c>
      <c r="H64" s="8">
        <v>3.33</v>
      </c>
      <c r="I64" s="12">
        <v>0</v>
      </c>
    </row>
    <row r="65" spans="2:9" ht="15" customHeight="1" x14ac:dyDescent="0.15">
      <c r="B65" t="s">
        <v>153</v>
      </c>
      <c r="C65" s="12">
        <v>41</v>
      </c>
      <c r="D65" s="8">
        <v>1.94</v>
      </c>
      <c r="E65" s="12">
        <v>18</v>
      </c>
      <c r="F65" s="8">
        <v>2.04</v>
      </c>
      <c r="G65" s="12">
        <v>23</v>
      </c>
      <c r="H65" s="8">
        <v>1.87</v>
      </c>
      <c r="I65" s="12">
        <v>0</v>
      </c>
    </row>
    <row r="66" spans="2:9" ht="15" customHeight="1" x14ac:dyDescent="0.15">
      <c r="B66" t="s">
        <v>181</v>
      </c>
      <c r="C66" s="12">
        <v>40</v>
      </c>
      <c r="D66" s="8">
        <v>1.89</v>
      </c>
      <c r="E66" s="12">
        <v>28</v>
      </c>
      <c r="F66" s="8">
        <v>3.17</v>
      </c>
      <c r="G66" s="12">
        <v>12</v>
      </c>
      <c r="H66" s="8">
        <v>0.97</v>
      </c>
      <c r="I66" s="12">
        <v>0</v>
      </c>
    </row>
    <row r="67" spans="2:9" ht="15" customHeight="1" x14ac:dyDescent="0.15">
      <c r="B67" t="s">
        <v>175</v>
      </c>
      <c r="C67" s="12">
        <v>38</v>
      </c>
      <c r="D67" s="8">
        <v>1.79</v>
      </c>
      <c r="E67" s="12">
        <v>27</v>
      </c>
      <c r="F67" s="8">
        <v>3.06</v>
      </c>
      <c r="G67" s="12">
        <v>11</v>
      </c>
      <c r="H67" s="8">
        <v>0.89</v>
      </c>
      <c r="I67" s="12">
        <v>0</v>
      </c>
    </row>
    <row r="68" spans="2:9" ht="15" customHeight="1" x14ac:dyDescent="0.15">
      <c r="B68" t="s">
        <v>179</v>
      </c>
      <c r="C68" s="12">
        <v>33</v>
      </c>
      <c r="D68" s="8">
        <v>1.56</v>
      </c>
      <c r="E68" s="12">
        <v>8</v>
      </c>
      <c r="F68" s="8">
        <v>0.91</v>
      </c>
      <c r="G68" s="12">
        <v>25</v>
      </c>
      <c r="H68" s="8">
        <v>2.0299999999999998</v>
      </c>
      <c r="I68" s="12">
        <v>0</v>
      </c>
    </row>
    <row r="69" spans="2:9" ht="15" customHeight="1" x14ac:dyDescent="0.15">
      <c r="B69" t="s">
        <v>145</v>
      </c>
      <c r="C69" s="12">
        <v>33</v>
      </c>
      <c r="D69" s="8">
        <v>1.56</v>
      </c>
      <c r="E69" s="12">
        <v>13</v>
      </c>
      <c r="F69" s="8">
        <v>1.47</v>
      </c>
      <c r="G69" s="12">
        <v>20</v>
      </c>
      <c r="H69" s="8">
        <v>1.62</v>
      </c>
      <c r="I69" s="12">
        <v>0</v>
      </c>
    </row>
    <row r="70" spans="2:9" ht="15" customHeight="1" x14ac:dyDescent="0.15">
      <c r="B70" t="s">
        <v>152</v>
      </c>
      <c r="C70" s="12">
        <v>32</v>
      </c>
      <c r="D70" s="8">
        <v>1.51</v>
      </c>
      <c r="E70" s="12">
        <v>31</v>
      </c>
      <c r="F70" s="8">
        <v>3.51</v>
      </c>
      <c r="G70" s="12">
        <v>1</v>
      </c>
      <c r="H70" s="8">
        <v>0.08</v>
      </c>
      <c r="I70" s="12">
        <v>0</v>
      </c>
    </row>
    <row r="71" spans="2:9" ht="15" customHeight="1" x14ac:dyDescent="0.15">
      <c r="B71" t="s">
        <v>149</v>
      </c>
      <c r="C71" s="12">
        <v>31</v>
      </c>
      <c r="D71" s="8">
        <v>1.46</v>
      </c>
      <c r="E71" s="12">
        <v>1</v>
      </c>
      <c r="F71" s="8">
        <v>0.11</v>
      </c>
      <c r="G71" s="12">
        <v>30</v>
      </c>
      <c r="H71" s="8">
        <v>2.44</v>
      </c>
      <c r="I71" s="12">
        <v>0</v>
      </c>
    </row>
    <row r="72" spans="2:9" ht="15" customHeight="1" x14ac:dyDescent="0.15">
      <c r="B72" t="s">
        <v>151</v>
      </c>
      <c r="C72" s="12">
        <v>31</v>
      </c>
      <c r="D72" s="8">
        <v>1.46</v>
      </c>
      <c r="E72" s="12">
        <v>27</v>
      </c>
      <c r="F72" s="8">
        <v>3.06</v>
      </c>
      <c r="G72" s="12">
        <v>4</v>
      </c>
      <c r="H72" s="8">
        <v>0.32</v>
      </c>
      <c r="I72" s="12">
        <v>0</v>
      </c>
    </row>
    <row r="73" spans="2:9" ht="15" customHeight="1" x14ac:dyDescent="0.15">
      <c r="B73" t="s">
        <v>146</v>
      </c>
      <c r="C73" s="12">
        <v>29</v>
      </c>
      <c r="D73" s="8">
        <v>1.37</v>
      </c>
      <c r="E73" s="12">
        <v>1</v>
      </c>
      <c r="F73" s="8">
        <v>0.11</v>
      </c>
      <c r="G73" s="12">
        <v>28</v>
      </c>
      <c r="H73" s="8">
        <v>2.27</v>
      </c>
      <c r="I73" s="12">
        <v>0</v>
      </c>
    </row>
    <row r="74" spans="2:9" ht="15" customHeight="1" x14ac:dyDescent="0.15">
      <c r="B74" t="s">
        <v>150</v>
      </c>
      <c r="C74" s="12">
        <v>29</v>
      </c>
      <c r="D74" s="8">
        <v>1.37</v>
      </c>
      <c r="E74" s="12">
        <v>20</v>
      </c>
      <c r="F74" s="8">
        <v>2.27</v>
      </c>
      <c r="G74" s="12">
        <v>9</v>
      </c>
      <c r="H74" s="8">
        <v>0.73</v>
      </c>
      <c r="I74" s="12">
        <v>0</v>
      </c>
    </row>
    <row r="75" spans="2:9" ht="15" customHeight="1" x14ac:dyDescent="0.15">
      <c r="B75" t="s">
        <v>180</v>
      </c>
      <c r="C75" s="12">
        <v>29</v>
      </c>
      <c r="D75" s="8">
        <v>1.37</v>
      </c>
      <c r="E75" s="12">
        <v>0</v>
      </c>
      <c r="F75" s="8">
        <v>0</v>
      </c>
      <c r="G75" s="12">
        <v>29</v>
      </c>
      <c r="H75" s="8">
        <v>2.35</v>
      </c>
      <c r="I75" s="12">
        <v>0</v>
      </c>
    </row>
    <row r="77" spans="2:9" ht="15" customHeight="1" x14ac:dyDescent="0.15">
      <c r="B77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440</v>
      </c>
      <c r="D6" s="8">
        <v>11.63</v>
      </c>
      <c r="E6" s="12">
        <v>50</v>
      </c>
      <c r="F6" s="8">
        <v>3.99</v>
      </c>
      <c r="G6" s="12">
        <v>390</v>
      </c>
      <c r="H6" s="8">
        <v>15.48</v>
      </c>
      <c r="I6" s="12">
        <v>0</v>
      </c>
    </row>
    <row r="7" spans="2:9" ht="15" customHeight="1" x14ac:dyDescent="0.15">
      <c r="B7" t="s">
        <v>64</v>
      </c>
      <c r="C7" s="12">
        <v>147</v>
      </c>
      <c r="D7" s="8">
        <v>3.89</v>
      </c>
      <c r="E7" s="12">
        <v>28</v>
      </c>
      <c r="F7" s="8">
        <v>2.23</v>
      </c>
      <c r="G7" s="12">
        <v>118</v>
      </c>
      <c r="H7" s="8">
        <v>4.68</v>
      </c>
      <c r="I7" s="12">
        <v>1</v>
      </c>
    </row>
    <row r="8" spans="2:9" ht="15" customHeight="1" x14ac:dyDescent="0.15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15">
      <c r="B9" t="s">
        <v>66</v>
      </c>
      <c r="C9" s="12">
        <v>118</v>
      </c>
      <c r="D9" s="8">
        <v>3.12</v>
      </c>
      <c r="E9" s="12">
        <v>6</v>
      </c>
      <c r="F9" s="8">
        <v>0.48</v>
      </c>
      <c r="G9" s="12">
        <v>110</v>
      </c>
      <c r="H9" s="8">
        <v>4.37</v>
      </c>
      <c r="I9" s="12">
        <v>2</v>
      </c>
    </row>
    <row r="10" spans="2:9" ht="15" customHeight="1" x14ac:dyDescent="0.15">
      <c r="B10" t="s">
        <v>67</v>
      </c>
      <c r="C10" s="12">
        <v>18</v>
      </c>
      <c r="D10" s="8">
        <v>0.48</v>
      </c>
      <c r="E10" s="12">
        <v>1</v>
      </c>
      <c r="F10" s="8">
        <v>0.08</v>
      </c>
      <c r="G10" s="12">
        <v>17</v>
      </c>
      <c r="H10" s="8">
        <v>0.67</v>
      </c>
      <c r="I10" s="12">
        <v>0</v>
      </c>
    </row>
    <row r="11" spans="2:9" ht="15" customHeight="1" x14ac:dyDescent="0.15">
      <c r="B11" t="s">
        <v>68</v>
      </c>
      <c r="C11" s="12">
        <v>825</v>
      </c>
      <c r="D11" s="8">
        <v>21.81</v>
      </c>
      <c r="E11" s="12">
        <v>219</v>
      </c>
      <c r="F11" s="8">
        <v>17.48</v>
      </c>
      <c r="G11" s="12">
        <v>605</v>
      </c>
      <c r="H11" s="8">
        <v>24.02</v>
      </c>
      <c r="I11" s="12">
        <v>1</v>
      </c>
    </row>
    <row r="12" spans="2:9" ht="15" customHeight="1" x14ac:dyDescent="0.15">
      <c r="B12" t="s">
        <v>69</v>
      </c>
      <c r="C12" s="12">
        <v>26</v>
      </c>
      <c r="D12" s="8">
        <v>0.69</v>
      </c>
      <c r="E12" s="12">
        <v>3</v>
      </c>
      <c r="F12" s="8">
        <v>0.24</v>
      </c>
      <c r="G12" s="12">
        <v>23</v>
      </c>
      <c r="H12" s="8">
        <v>0.91</v>
      </c>
      <c r="I12" s="12">
        <v>0</v>
      </c>
    </row>
    <row r="13" spans="2:9" ht="15" customHeight="1" x14ac:dyDescent="0.15">
      <c r="B13" t="s">
        <v>70</v>
      </c>
      <c r="C13" s="12">
        <v>452</v>
      </c>
      <c r="D13" s="8">
        <v>11.95</v>
      </c>
      <c r="E13" s="12">
        <v>22</v>
      </c>
      <c r="F13" s="8">
        <v>1.76</v>
      </c>
      <c r="G13" s="12">
        <v>429</v>
      </c>
      <c r="H13" s="8">
        <v>17.03</v>
      </c>
      <c r="I13" s="12">
        <v>1</v>
      </c>
    </row>
    <row r="14" spans="2:9" ht="15" customHeight="1" x14ac:dyDescent="0.15">
      <c r="B14" t="s">
        <v>71</v>
      </c>
      <c r="C14" s="12">
        <v>338</v>
      </c>
      <c r="D14" s="8">
        <v>8.94</v>
      </c>
      <c r="E14" s="12">
        <v>100</v>
      </c>
      <c r="F14" s="8">
        <v>7.98</v>
      </c>
      <c r="G14" s="12">
        <v>238</v>
      </c>
      <c r="H14" s="8">
        <v>9.4499999999999993</v>
      </c>
      <c r="I14" s="12">
        <v>0</v>
      </c>
    </row>
    <row r="15" spans="2:9" ht="15" customHeight="1" x14ac:dyDescent="0.15">
      <c r="B15" t="s">
        <v>72</v>
      </c>
      <c r="C15" s="12">
        <v>329</v>
      </c>
      <c r="D15" s="8">
        <v>8.6999999999999993</v>
      </c>
      <c r="E15" s="12">
        <v>208</v>
      </c>
      <c r="F15" s="8">
        <v>16.600000000000001</v>
      </c>
      <c r="G15" s="12">
        <v>121</v>
      </c>
      <c r="H15" s="8">
        <v>4.8</v>
      </c>
      <c r="I15" s="12">
        <v>0</v>
      </c>
    </row>
    <row r="16" spans="2:9" ht="15" customHeight="1" x14ac:dyDescent="0.15">
      <c r="B16" t="s">
        <v>73</v>
      </c>
      <c r="C16" s="12">
        <v>459</v>
      </c>
      <c r="D16" s="8">
        <v>12.14</v>
      </c>
      <c r="E16" s="12">
        <v>269</v>
      </c>
      <c r="F16" s="8">
        <v>21.47</v>
      </c>
      <c r="G16" s="12">
        <v>188</v>
      </c>
      <c r="H16" s="8">
        <v>7.46</v>
      </c>
      <c r="I16" s="12">
        <v>2</v>
      </c>
    </row>
    <row r="17" spans="2:9" ht="15" customHeight="1" x14ac:dyDescent="0.15">
      <c r="B17" t="s">
        <v>74</v>
      </c>
      <c r="C17" s="12">
        <v>266</v>
      </c>
      <c r="D17" s="8">
        <v>7.03</v>
      </c>
      <c r="E17" s="12">
        <v>155</v>
      </c>
      <c r="F17" s="8">
        <v>12.37</v>
      </c>
      <c r="G17" s="12">
        <v>110</v>
      </c>
      <c r="H17" s="8">
        <v>4.37</v>
      </c>
      <c r="I17" s="12">
        <v>1</v>
      </c>
    </row>
    <row r="18" spans="2:9" ht="15" customHeight="1" x14ac:dyDescent="0.15">
      <c r="B18" t="s">
        <v>75</v>
      </c>
      <c r="C18" s="12">
        <v>262</v>
      </c>
      <c r="D18" s="8">
        <v>6.93</v>
      </c>
      <c r="E18" s="12">
        <v>175</v>
      </c>
      <c r="F18" s="8">
        <v>13.97</v>
      </c>
      <c r="G18" s="12">
        <v>85</v>
      </c>
      <c r="H18" s="8">
        <v>3.37</v>
      </c>
      <c r="I18" s="12">
        <v>2</v>
      </c>
    </row>
    <row r="19" spans="2:9" ht="15" customHeight="1" x14ac:dyDescent="0.15">
      <c r="B19" t="s">
        <v>76</v>
      </c>
      <c r="C19" s="12">
        <v>101</v>
      </c>
      <c r="D19" s="8">
        <v>2.67</v>
      </c>
      <c r="E19" s="12">
        <v>17</v>
      </c>
      <c r="F19" s="8">
        <v>1.36</v>
      </c>
      <c r="G19" s="12">
        <v>84</v>
      </c>
      <c r="H19" s="8">
        <v>3.33</v>
      </c>
      <c r="I19" s="12">
        <v>0</v>
      </c>
    </row>
    <row r="20" spans="2:9" ht="15" customHeight="1" x14ac:dyDescent="0.15">
      <c r="B20" s="9" t="s">
        <v>216</v>
      </c>
      <c r="C20" s="12">
        <f>SUM(LTBL_14117[総数／事業所数])</f>
        <v>3782</v>
      </c>
      <c r="E20" s="12">
        <f>SUBTOTAL(109,LTBL_14117[個人／事業所数])</f>
        <v>1253</v>
      </c>
      <c r="G20" s="12">
        <f>SUBTOTAL(109,LTBL_14117[法人／事業所数])</f>
        <v>2519</v>
      </c>
      <c r="I20" s="12">
        <f>SUBTOTAL(109,LTBL_14117[法人以外の団体／事業所数])</f>
        <v>10</v>
      </c>
    </row>
    <row r="21" spans="2:9" ht="15" customHeight="1" x14ac:dyDescent="0.15">
      <c r="E21" s="11">
        <f>LTBL_14117[[#Totals],[個人／事業所数]]/LTBL_14117[[#Totals],[総数／事業所数]]</f>
        <v>0.33130618720253835</v>
      </c>
      <c r="G21" s="11">
        <f>LTBL_14117[[#Totals],[法人／事業所数]]/LTBL_14117[[#Totals],[総数／事業所数]]</f>
        <v>0.66604970914859862</v>
      </c>
      <c r="I21" s="11">
        <f>LTBL_14117[[#Totals],[法人以外の団体／事業所数]]/LTBL_14117[[#Totals],[総数／事業所数]]</f>
        <v>2.6441036488630354E-3</v>
      </c>
    </row>
    <row r="23" spans="2:9" ht="33" customHeight="1" x14ac:dyDescent="0.15">
      <c r="B23" t="s">
        <v>215</v>
      </c>
      <c r="C23" s="10" t="s">
        <v>78</v>
      </c>
      <c r="D23" s="10" t="s">
        <v>289</v>
      </c>
      <c r="E23" s="10" t="s">
        <v>80</v>
      </c>
      <c r="F23" s="10" t="s">
        <v>269</v>
      </c>
      <c r="G23" s="10" t="s">
        <v>82</v>
      </c>
      <c r="H23" s="10" t="s">
        <v>290</v>
      </c>
      <c r="I23" s="10" t="s">
        <v>84</v>
      </c>
    </row>
    <row r="24" spans="2:9" ht="15" customHeight="1" x14ac:dyDescent="0.15">
      <c r="B24" t="s">
        <v>218</v>
      </c>
      <c r="C24">
        <v>15</v>
      </c>
      <c r="D24" t="s">
        <v>217</v>
      </c>
      <c r="E24">
        <v>0</v>
      </c>
      <c r="F24" t="s">
        <v>219</v>
      </c>
      <c r="G24">
        <v>15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235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381</v>
      </c>
      <c r="D29" s="8">
        <v>10.07</v>
      </c>
      <c r="E29" s="12">
        <v>247</v>
      </c>
      <c r="F29" s="8">
        <v>19.71</v>
      </c>
      <c r="G29" s="12">
        <v>133</v>
      </c>
      <c r="H29" s="8">
        <v>5.28</v>
      </c>
      <c r="I29" s="12">
        <v>1</v>
      </c>
    </row>
    <row r="30" spans="2:9" ht="15" customHeight="1" x14ac:dyDescent="0.15">
      <c r="B30" t="s">
        <v>96</v>
      </c>
      <c r="C30" s="12">
        <v>367</v>
      </c>
      <c r="D30" s="8">
        <v>9.6999999999999993</v>
      </c>
      <c r="E30" s="12">
        <v>19</v>
      </c>
      <c r="F30" s="8">
        <v>1.52</v>
      </c>
      <c r="G30" s="12">
        <v>347</v>
      </c>
      <c r="H30" s="8">
        <v>13.78</v>
      </c>
      <c r="I30" s="12">
        <v>1</v>
      </c>
    </row>
    <row r="31" spans="2:9" ht="15" customHeight="1" x14ac:dyDescent="0.15">
      <c r="B31" t="s">
        <v>99</v>
      </c>
      <c r="C31" s="12">
        <v>290</v>
      </c>
      <c r="D31" s="8">
        <v>7.67</v>
      </c>
      <c r="E31" s="12">
        <v>204</v>
      </c>
      <c r="F31" s="8">
        <v>16.28</v>
      </c>
      <c r="G31" s="12">
        <v>86</v>
      </c>
      <c r="H31" s="8">
        <v>3.41</v>
      </c>
      <c r="I31" s="12">
        <v>0</v>
      </c>
    </row>
    <row r="32" spans="2:9" ht="15" customHeight="1" x14ac:dyDescent="0.15">
      <c r="B32" t="s">
        <v>102</v>
      </c>
      <c r="C32" s="12">
        <v>266</v>
      </c>
      <c r="D32" s="8">
        <v>7.03</v>
      </c>
      <c r="E32" s="12">
        <v>155</v>
      </c>
      <c r="F32" s="8">
        <v>12.37</v>
      </c>
      <c r="G32" s="12">
        <v>110</v>
      </c>
      <c r="H32" s="8">
        <v>4.37</v>
      </c>
      <c r="I32" s="12">
        <v>1</v>
      </c>
    </row>
    <row r="33" spans="2:9" ht="15" customHeight="1" x14ac:dyDescent="0.15">
      <c r="B33" t="s">
        <v>94</v>
      </c>
      <c r="C33" s="12">
        <v>221</v>
      </c>
      <c r="D33" s="8">
        <v>5.84</v>
      </c>
      <c r="E33" s="12">
        <v>76</v>
      </c>
      <c r="F33" s="8">
        <v>6.07</v>
      </c>
      <c r="G33" s="12">
        <v>145</v>
      </c>
      <c r="H33" s="8">
        <v>5.76</v>
      </c>
      <c r="I33" s="12">
        <v>0</v>
      </c>
    </row>
    <row r="34" spans="2:9" ht="15" customHeight="1" x14ac:dyDescent="0.15">
      <c r="B34" t="s">
        <v>103</v>
      </c>
      <c r="C34" s="12">
        <v>219</v>
      </c>
      <c r="D34" s="8">
        <v>5.79</v>
      </c>
      <c r="E34" s="12">
        <v>174</v>
      </c>
      <c r="F34" s="8">
        <v>13.89</v>
      </c>
      <c r="G34" s="12">
        <v>45</v>
      </c>
      <c r="H34" s="8">
        <v>1.79</v>
      </c>
      <c r="I34" s="12">
        <v>0</v>
      </c>
    </row>
    <row r="35" spans="2:9" ht="15" customHeight="1" x14ac:dyDescent="0.15">
      <c r="B35" t="s">
        <v>97</v>
      </c>
      <c r="C35" s="12">
        <v>216</v>
      </c>
      <c r="D35" s="8">
        <v>5.71</v>
      </c>
      <c r="E35" s="12">
        <v>70</v>
      </c>
      <c r="F35" s="8">
        <v>5.59</v>
      </c>
      <c r="G35" s="12">
        <v>146</v>
      </c>
      <c r="H35" s="8">
        <v>5.8</v>
      </c>
      <c r="I35" s="12">
        <v>0</v>
      </c>
    </row>
    <row r="36" spans="2:9" ht="15" customHeight="1" x14ac:dyDescent="0.15">
      <c r="B36" t="s">
        <v>85</v>
      </c>
      <c r="C36" s="12">
        <v>205</v>
      </c>
      <c r="D36" s="8">
        <v>5.42</v>
      </c>
      <c r="E36" s="12">
        <v>19</v>
      </c>
      <c r="F36" s="8">
        <v>1.52</v>
      </c>
      <c r="G36" s="12">
        <v>186</v>
      </c>
      <c r="H36" s="8">
        <v>7.38</v>
      </c>
      <c r="I36" s="12">
        <v>0</v>
      </c>
    </row>
    <row r="37" spans="2:9" ht="15" customHeight="1" x14ac:dyDescent="0.15">
      <c r="B37" t="s">
        <v>91</v>
      </c>
      <c r="C37" s="12">
        <v>146</v>
      </c>
      <c r="D37" s="8">
        <v>3.86</v>
      </c>
      <c r="E37" s="12">
        <v>51</v>
      </c>
      <c r="F37" s="8">
        <v>4.07</v>
      </c>
      <c r="G37" s="12">
        <v>95</v>
      </c>
      <c r="H37" s="8">
        <v>3.77</v>
      </c>
      <c r="I37" s="12">
        <v>0</v>
      </c>
    </row>
    <row r="38" spans="2:9" ht="15" customHeight="1" x14ac:dyDescent="0.15">
      <c r="B38" t="s">
        <v>92</v>
      </c>
      <c r="C38" s="12">
        <v>143</v>
      </c>
      <c r="D38" s="8">
        <v>3.78</v>
      </c>
      <c r="E38" s="12">
        <v>53</v>
      </c>
      <c r="F38" s="8">
        <v>4.2300000000000004</v>
      </c>
      <c r="G38" s="12">
        <v>90</v>
      </c>
      <c r="H38" s="8">
        <v>3.57</v>
      </c>
      <c r="I38" s="12">
        <v>0</v>
      </c>
    </row>
    <row r="39" spans="2:9" ht="15" customHeight="1" x14ac:dyDescent="0.15">
      <c r="B39" t="s">
        <v>86</v>
      </c>
      <c r="C39" s="12">
        <v>136</v>
      </c>
      <c r="D39" s="8">
        <v>3.6</v>
      </c>
      <c r="E39" s="12">
        <v>26</v>
      </c>
      <c r="F39" s="8">
        <v>2.08</v>
      </c>
      <c r="G39" s="12">
        <v>110</v>
      </c>
      <c r="H39" s="8">
        <v>4.37</v>
      </c>
      <c r="I39" s="12">
        <v>0</v>
      </c>
    </row>
    <row r="40" spans="2:9" ht="15" customHeight="1" x14ac:dyDescent="0.15">
      <c r="B40" t="s">
        <v>98</v>
      </c>
      <c r="C40" s="12">
        <v>109</v>
      </c>
      <c r="D40" s="8">
        <v>2.88</v>
      </c>
      <c r="E40" s="12">
        <v>28</v>
      </c>
      <c r="F40" s="8">
        <v>2.23</v>
      </c>
      <c r="G40" s="12">
        <v>81</v>
      </c>
      <c r="H40" s="8">
        <v>3.22</v>
      </c>
      <c r="I40" s="12">
        <v>0</v>
      </c>
    </row>
    <row r="41" spans="2:9" ht="15" customHeight="1" x14ac:dyDescent="0.15">
      <c r="B41" t="s">
        <v>87</v>
      </c>
      <c r="C41" s="12">
        <v>99</v>
      </c>
      <c r="D41" s="8">
        <v>2.62</v>
      </c>
      <c r="E41" s="12">
        <v>5</v>
      </c>
      <c r="F41" s="8">
        <v>0.4</v>
      </c>
      <c r="G41" s="12">
        <v>94</v>
      </c>
      <c r="H41" s="8">
        <v>3.73</v>
      </c>
      <c r="I41" s="12">
        <v>0</v>
      </c>
    </row>
    <row r="42" spans="2:9" ht="15" customHeight="1" x14ac:dyDescent="0.15">
      <c r="B42" t="s">
        <v>93</v>
      </c>
      <c r="C42" s="12">
        <v>86</v>
      </c>
      <c r="D42" s="8">
        <v>2.27</v>
      </c>
      <c r="E42" s="12">
        <v>24</v>
      </c>
      <c r="F42" s="8">
        <v>1.92</v>
      </c>
      <c r="G42" s="12">
        <v>62</v>
      </c>
      <c r="H42" s="8">
        <v>2.46</v>
      </c>
      <c r="I42" s="12">
        <v>0</v>
      </c>
    </row>
    <row r="43" spans="2:9" ht="15" customHeight="1" x14ac:dyDescent="0.15">
      <c r="B43" t="s">
        <v>95</v>
      </c>
      <c r="C43" s="12">
        <v>76</v>
      </c>
      <c r="D43" s="8">
        <v>2.0099999999999998</v>
      </c>
      <c r="E43" s="12">
        <v>3</v>
      </c>
      <c r="F43" s="8">
        <v>0.24</v>
      </c>
      <c r="G43" s="12">
        <v>73</v>
      </c>
      <c r="H43" s="8">
        <v>2.9</v>
      </c>
      <c r="I43" s="12">
        <v>0</v>
      </c>
    </row>
    <row r="44" spans="2:9" ht="15" customHeight="1" x14ac:dyDescent="0.15">
      <c r="B44" t="s">
        <v>109</v>
      </c>
      <c r="C44" s="12">
        <v>64</v>
      </c>
      <c r="D44" s="8">
        <v>1.69</v>
      </c>
      <c r="E44" s="12">
        <v>3</v>
      </c>
      <c r="F44" s="8">
        <v>0.24</v>
      </c>
      <c r="G44" s="12">
        <v>59</v>
      </c>
      <c r="H44" s="8">
        <v>2.34</v>
      </c>
      <c r="I44" s="12">
        <v>2</v>
      </c>
    </row>
    <row r="45" spans="2:9" ht="15" customHeight="1" x14ac:dyDescent="0.15">
      <c r="B45" t="s">
        <v>90</v>
      </c>
      <c r="C45" s="12">
        <v>57</v>
      </c>
      <c r="D45" s="8">
        <v>1.51</v>
      </c>
      <c r="E45" s="12">
        <v>2</v>
      </c>
      <c r="F45" s="8">
        <v>0.16</v>
      </c>
      <c r="G45" s="12">
        <v>55</v>
      </c>
      <c r="H45" s="8">
        <v>2.1800000000000002</v>
      </c>
      <c r="I45" s="12">
        <v>0</v>
      </c>
    </row>
    <row r="46" spans="2:9" ht="15" customHeight="1" x14ac:dyDescent="0.15">
      <c r="B46" t="s">
        <v>105</v>
      </c>
      <c r="C46" s="12">
        <v>52</v>
      </c>
      <c r="D46" s="8">
        <v>1.37</v>
      </c>
      <c r="E46" s="12">
        <v>5</v>
      </c>
      <c r="F46" s="8">
        <v>0.4</v>
      </c>
      <c r="G46" s="12">
        <v>47</v>
      </c>
      <c r="H46" s="8">
        <v>1.87</v>
      </c>
      <c r="I46" s="12">
        <v>0</v>
      </c>
    </row>
    <row r="47" spans="2:9" ht="15" customHeight="1" x14ac:dyDescent="0.15">
      <c r="B47" t="s">
        <v>118</v>
      </c>
      <c r="C47" s="12">
        <v>48</v>
      </c>
      <c r="D47" s="8">
        <v>1.27</v>
      </c>
      <c r="E47" s="12">
        <v>3</v>
      </c>
      <c r="F47" s="8">
        <v>0.24</v>
      </c>
      <c r="G47" s="12">
        <v>45</v>
      </c>
      <c r="H47" s="8">
        <v>1.79</v>
      </c>
      <c r="I47" s="12">
        <v>0</v>
      </c>
    </row>
    <row r="48" spans="2:9" ht="15" customHeight="1" x14ac:dyDescent="0.15">
      <c r="B48" t="s">
        <v>101</v>
      </c>
      <c r="C48" s="12">
        <v>47</v>
      </c>
      <c r="D48" s="8">
        <v>1.24</v>
      </c>
      <c r="E48" s="12">
        <v>14</v>
      </c>
      <c r="F48" s="8">
        <v>1.1200000000000001</v>
      </c>
      <c r="G48" s="12">
        <v>33</v>
      </c>
      <c r="H48" s="8">
        <v>1.31</v>
      </c>
      <c r="I48" s="12">
        <v>0</v>
      </c>
    </row>
    <row r="51" spans="2:9" ht="33" customHeight="1" x14ac:dyDescent="0.15">
      <c r="B51" t="s">
        <v>255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186</v>
      </c>
      <c r="D52" s="8">
        <v>4.92</v>
      </c>
      <c r="E52" s="12">
        <v>134</v>
      </c>
      <c r="F52" s="8">
        <v>10.69</v>
      </c>
      <c r="G52" s="12">
        <v>51</v>
      </c>
      <c r="H52" s="8">
        <v>2.02</v>
      </c>
      <c r="I52" s="12">
        <v>1</v>
      </c>
    </row>
    <row r="53" spans="2:9" ht="15" customHeight="1" x14ac:dyDescent="0.15">
      <c r="B53" t="s">
        <v>156</v>
      </c>
      <c r="C53" s="12">
        <v>171</v>
      </c>
      <c r="D53" s="8">
        <v>4.5199999999999996</v>
      </c>
      <c r="E53" s="12">
        <v>105</v>
      </c>
      <c r="F53" s="8">
        <v>8.3800000000000008</v>
      </c>
      <c r="G53" s="12">
        <v>65</v>
      </c>
      <c r="H53" s="8">
        <v>2.58</v>
      </c>
      <c r="I53" s="12">
        <v>1</v>
      </c>
    </row>
    <row r="54" spans="2:9" ht="15" customHeight="1" x14ac:dyDescent="0.15">
      <c r="B54" t="s">
        <v>148</v>
      </c>
      <c r="C54" s="12">
        <v>161</v>
      </c>
      <c r="D54" s="8">
        <v>4.26</v>
      </c>
      <c r="E54" s="12">
        <v>13</v>
      </c>
      <c r="F54" s="8">
        <v>1.04</v>
      </c>
      <c r="G54" s="12">
        <v>148</v>
      </c>
      <c r="H54" s="8">
        <v>5.88</v>
      </c>
      <c r="I54" s="12">
        <v>0</v>
      </c>
    </row>
    <row r="55" spans="2:9" ht="15" customHeight="1" x14ac:dyDescent="0.15">
      <c r="B55" t="s">
        <v>149</v>
      </c>
      <c r="C55" s="12">
        <v>154</v>
      </c>
      <c r="D55" s="8">
        <v>4.07</v>
      </c>
      <c r="E55" s="12">
        <v>1</v>
      </c>
      <c r="F55" s="8">
        <v>0.08</v>
      </c>
      <c r="G55" s="12">
        <v>152</v>
      </c>
      <c r="H55" s="8">
        <v>6.03</v>
      </c>
      <c r="I55" s="12">
        <v>1</v>
      </c>
    </row>
    <row r="56" spans="2:9" ht="15" customHeight="1" x14ac:dyDescent="0.15">
      <c r="B56" t="s">
        <v>157</v>
      </c>
      <c r="C56" s="12">
        <v>141</v>
      </c>
      <c r="D56" s="8">
        <v>3.73</v>
      </c>
      <c r="E56" s="12">
        <v>107</v>
      </c>
      <c r="F56" s="8">
        <v>8.5399999999999991</v>
      </c>
      <c r="G56" s="12">
        <v>34</v>
      </c>
      <c r="H56" s="8">
        <v>1.35</v>
      </c>
      <c r="I56" s="12">
        <v>0</v>
      </c>
    </row>
    <row r="57" spans="2:9" ht="15" customHeight="1" x14ac:dyDescent="0.15">
      <c r="B57" t="s">
        <v>150</v>
      </c>
      <c r="C57" s="12">
        <v>104</v>
      </c>
      <c r="D57" s="8">
        <v>2.75</v>
      </c>
      <c r="E57" s="12">
        <v>64</v>
      </c>
      <c r="F57" s="8">
        <v>5.1100000000000003</v>
      </c>
      <c r="G57" s="12">
        <v>40</v>
      </c>
      <c r="H57" s="8">
        <v>1.59</v>
      </c>
      <c r="I57" s="12">
        <v>0</v>
      </c>
    </row>
    <row r="58" spans="2:9" ht="15" customHeight="1" x14ac:dyDescent="0.15">
      <c r="B58" t="s">
        <v>142</v>
      </c>
      <c r="C58" s="12">
        <v>86</v>
      </c>
      <c r="D58" s="8">
        <v>2.27</v>
      </c>
      <c r="E58" s="12">
        <v>29</v>
      </c>
      <c r="F58" s="8">
        <v>2.31</v>
      </c>
      <c r="G58" s="12">
        <v>57</v>
      </c>
      <c r="H58" s="8">
        <v>2.2599999999999998</v>
      </c>
      <c r="I58" s="12">
        <v>0</v>
      </c>
    </row>
    <row r="59" spans="2:9" ht="15" customHeight="1" x14ac:dyDescent="0.15">
      <c r="B59" t="s">
        <v>154</v>
      </c>
      <c r="C59" s="12">
        <v>83</v>
      </c>
      <c r="D59" s="8">
        <v>2.19</v>
      </c>
      <c r="E59" s="12">
        <v>66</v>
      </c>
      <c r="F59" s="8">
        <v>5.27</v>
      </c>
      <c r="G59" s="12">
        <v>17</v>
      </c>
      <c r="H59" s="8">
        <v>0.67</v>
      </c>
      <c r="I59" s="12">
        <v>0</v>
      </c>
    </row>
    <row r="60" spans="2:9" ht="15" customHeight="1" x14ac:dyDescent="0.15">
      <c r="B60" t="s">
        <v>175</v>
      </c>
      <c r="C60" s="12">
        <v>80</v>
      </c>
      <c r="D60" s="8">
        <v>2.12</v>
      </c>
      <c r="E60" s="12">
        <v>50</v>
      </c>
      <c r="F60" s="8">
        <v>3.99</v>
      </c>
      <c r="G60" s="12">
        <v>30</v>
      </c>
      <c r="H60" s="8">
        <v>1.19</v>
      </c>
      <c r="I60" s="12">
        <v>0</v>
      </c>
    </row>
    <row r="61" spans="2:9" ht="15" customHeight="1" x14ac:dyDescent="0.15">
      <c r="B61" t="s">
        <v>145</v>
      </c>
      <c r="C61" s="12">
        <v>79</v>
      </c>
      <c r="D61" s="8">
        <v>2.09</v>
      </c>
      <c r="E61" s="12">
        <v>35</v>
      </c>
      <c r="F61" s="8">
        <v>2.79</v>
      </c>
      <c r="G61" s="12">
        <v>44</v>
      </c>
      <c r="H61" s="8">
        <v>1.75</v>
      </c>
      <c r="I61" s="12">
        <v>0</v>
      </c>
    </row>
    <row r="62" spans="2:9" ht="15" customHeight="1" x14ac:dyDescent="0.15">
      <c r="B62" t="s">
        <v>153</v>
      </c>
      <c r="C62" s="12">
        <v>73</v>
      </c>
      <c r="D62" s="8">
        <v>1.93</v>
      </c>
      <c r="E62" s="12">
        <v>27</v>
      </c>
      <c r="F62" s="8">
        <v>2.15</v>
      </c>
      <c r="G62" s="12">
        <v>46</v>
      </c>
      <c r="H62" s="8">
        <v>1.83</v>
      </c>
      <c r="I62" s="12">
        <v>0</v>
      </c>
    </row>
    <row r="63" spans="2:9" ht="15" customHeight="1" x14ac:dyDescent="0.15">
      <c r="B63" t="s">
        <v>182</v>
      </c>
      <c r="C63" s="12">
        <v>69</v>
      </c>
      <c r="D63" s="8">
        <v>1.82</v>
      </c>
      <c r="E63" s="12">
        <v>4</v>
      </c>
      <c r="F63" s="8">
        <v>0.32</v>
      </c>
      <c r="G63" s="12">
        <v>65</v>
      </c>
      <c r="H63" s="8">
        <v>2.58</v>
      </c>
      <c r="I63" s="12">
        <v>0</v>
      </c>
    </row>
    <row r="64" spans="2:9" ht="15" customHeight="1" x14ac:dyDescent="0.15">
      <c r="B64" t="s">
        <v>169</v>
      </c>
      <c r="C64" s="12">
        <v>67</v>
      </c>
      <c r="D64" s="8">
        <v>1.77</v>
      </c>
      <c r="E64" s="12">
        <v>3</v>
      </c>
      <c r="F64" s="8">
        <v>0.24</v>
      </c>
      <c r="G64" s="12">
        <v>64</v>
      </c>
      <c r="H64" s="8">
        <v>2.54</v>
      </c>
      <c r="I64" s="12">
        <v>0</v>
      </c>
    </row>
    <row r="65" spans="2:9" ht="15" customHeight="1" x14ac:dyDescent="0.15">
      <c r="B65" t="s">
        <v>158</v>
      </c>
      <c r="C65" s="12">
        <v>66</v>
      </c>
      <c r="D65" s="8">
        <v>1.75</v>
      </c>
      <c r="E65" s="12">
        <v>5</v>
      </c>
      <c r="F65" s="8">
        <v>0.4</v>
      </c>
      <c r="G65" s="12">
        <v>61</v>
      </c>
      <c r="H65" s="8">
        <v>2.42</v>
      </c>
      <c r="I65" s="12">
        <v>0</v>
      </c>
    </row>
    <row r="66" spans="2:9" ht="15" customHeight="1" x14ac:dyDescent="0.15">
      <c r="B66" t="s">
        <v>146</v>
      </c>
      <c r="C66" s="12">
        <v>66</v>
      </c>
      <c r="D66" s="8">
        <v>1.75</v>
      </c>
      <c r="E66" s="12">
        <v>3</v>
      </c>
      <c r="F66" s="8">
        <v>0.24</v>
      </c>
      <c r="G66" s="12">
        <v>63</v>
      </c>
      <c r="H66" s="8">
        <v>2.5</v>
      </c>
      <c r="I66" s="12">
        <v>0</v>
      </c>
    </row>
    <row r="67" spans="2:9" ht="15" customHeight="1" x14ac:dyDescent="0.15">
      <c r="B67" t="s">
        <v>163</v>
      </c>
      <c r="C67" s="12">
        <v>66</v>
      </c>
      <c r="D67" s="8">
        <v>1.75</v>
      </c>
      <c r="E67" s="12">
        <v>61</v>
      </c>
      <c r="F67" s="8">
        <v>4.87</v>
      </c>
      <c r="G67" s="12">
        <v>5</v>
      </c>
      <c r="H67" s="8">
        <v>0.2</v>
      </c>
      <c r="I67" s="12">
        <v>0</v>
      </c>
    </row>
    <row r="68" spans="2:9" ht="15" customHeight="1" x14ac:dyDescent="0.15">
      <c r="B68" t="s">
        <v>159</v>
      </c>
      <c r="C68" s="12">
        <v>65</v>
      </c>
      <c r="D68" s="8">
        <v>1.72</v>
      </c>
      <c r="E68" s="12">
        <v>12</v>
      </c>
      <c r="F68" s="8">
        <v>0.96</v>
      </c>
      <c r="G68" s="12">
        <v>53</v>
      </c>
      <c r="H68" s="8">
        <v>2.1</v>
      </c>
      <c r="I68" s="12">
        <v>0</v>
      </c>
    </row>
    <row r="69" spans="2:9" ht="15" customHeight="1" x14ac:dyDescent="0.15">
      <c r="B69" t="s">
        <v>143</v>
      </c>
      <c r="C69" s="12">
        <v>63</v>
      </c>
      <c r="D69" s="8">
        <v>1.67</v>
      </c>
      <c r="E69" s="12">
        <v>18</v>
      </c>
      <c r="F69" s="8">
        <v>1.44</v>
      </c>
      <c r="G69" s="12">
        <v>45</v>
      </c>
      <c r="H69" s="8">
        <v>1.79</v>
      </c>
      <c r="I69" s="12">
        <v>0</v>
      </c>
    </row>
    <row r="70" spans="2:9" ht="15" customHeight="1" x14ac:dyDescent="0.15">
      <c r="B70" t="s">
        <v>151</v>
      </c>
      <c r="C70" s="12">
        <v>60</v>
      </c>
      <c r="D70" s="8">
        <v>1.59</v>
      </c>
      <c r="E70" s="12">
        <v>50</v>
      </c>
      <c r="F70" s="8">
        <v>3.99</v>
      </c>
      <c r="G70" s="12">
        <v>10</v>
      </c>
      <c r="H70" s="8">
        <v>0.4</v>
      </c>
      <c r="I70" s="12">
        <v>0</v>
      </c>
    </row>
    <row r="71" spans="2:9" ht="15" customHeight="1" x14ac:dyDescent="0.15">
      <c r="B71" t="s">
        <v>164</v>
      </c>
      <c r="C71" s="12">
        <v>54</v>
      </c>
      <c r="D71" s="8">
        <v>1.43</v>
      </c>
      <c r="E71" s="12">
        <v>2</v>
      </c>
      <c r="F71" s="8">
        <v>0.16</v>
      </c>
      <c r="G71" s="12">
        <v>50</v>
      </c>
      <c r="H71" s="8">
        <v>1.98</v>
      </c>
      <c r="I71" s="12">
        <v>2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568</v>
      </c>
      <c r="D6" s="8">
        <v>15.63</v>
      </c>
      <c r="E6" s="12">
        <v>65</v>
      </c>
      <c r="F6" s="8">
        <v>7.51</v>
      </c>
      <c r="G6" s="12">
        <v>503</v>
      </c>
      <c r="H6" s="8">
        <v>18.2</v>
      </c>
      <c r="I6" s="12">
        <v>0</v>
      </c>
    </row>
    <row r="7" spans="2:9" ht="15" customHeight="1" x14ac:dyDescent="0.15">
      <c r="B7" t="s">
        <v>64</v>
      </c>
      <c r="C7" s="12">
        <v>675</v>
      </c>
      <c r="D7" s="8">
        <v>18.579999999999998</v>
      </c>
      <c r="E7" s="12">
        <v>99</v>
      </c>
      <c r="F7" s="8">
        <v>11.43</v>
      </c>
      <c r="G7" s="12">
        <v>576</v>
      </c>
      <c r="H7" s="8">
        <v>20.85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60</v>
      </c>
      <c r="D9" s="8">
        <v>1.65</v>
      </c>
      <c r="E9" s="12">
        <v>2</v>
      </c>
      <c r="F9" s="8">
        <v>0.23</v>
      </c>
      <c r="G9" s="12">
        <v>58</v>
      </c>
      <c r="H9" s="8">
        <v>2.1</v>
      </c>
      <c r="I9" s="12">
        <v>0</v>
      </c>
    </row>
    <row r="10" spans="2:9" ht="15" customHeight="1" x14ac:dyDescent="0.15">
      <c r="B10" t="s">
        <v>67</v>
      </c>
      <c r="C10" s="12">
        <v>24</v>
      </c>
      <c r="D10" s="8">
        <v>0.66</v>
      </c>
      <c r="E10" s="12">
        <v>1</v>
      </c>
      <c r="F10" s="8">
        <v>0.12</v>
      </c>
      <c r="G10" s="12">
        <v>23</v>
      </c>
      <c r="H10" s="8">
        <v>0.83</v>
      </c>
      <c r="I10" s="12">
        <v>0</v>
      </c>
    </row>
    <row r="11" spans="2:9" ht="15" customHeight="1" x14ac:dyDescent="0.15">
      <c r="B11" t="s">
        <v>68</v>
      </c>
      <c r="C11" s="12">
        <v>707</v>
      </c>
      <c r="D11" s="8">
        <v>19.46</v>
      </c>
      <c r="E11" s="12">
        <v>129</v>
      </c>
      <c r="F11" s="8">
        <v>14.9</v>
      </c>
      <c r="G11" s="12">
        <v>578</v>
      </c>
      <c r="H11" s="8">
        <v>20.92</v>
      </c>
      <c r="I11" s="12">
        <v>0</v>
      </c>
    </row>
    <row r="12" spans="2:9" ht="15" customHeight="1" x14ac:dyDescent="0.15">
      <c r="B12" t="s">
        <v>69</v>
      </c>
      <c r="C12" s="12">
        <v>25</v>
      </c>
      <c r="D12" s="8">
        <v>0.69</v>
      </c>
      <c r="E12" s="12">
        <v>1</v>
      </c>
      <c r="F12" s="8">
        <v>0.12</v>
      </c>
      <c r="G12" s="12">
        <v>24</v>
      </c>
      <c r="H12" s="8">
        <v>0.87</v>
      </c>
      <c r="I12" s="12">
        <v>0</v>
      </c>
    </row>
    <row r="13" spans="2:9" ht="15" customHeight="1" x14ac:dyDescent="0.15">
      <c r="B13" t="s">
        <v>70</v>
      </c>
      <c r="C13" s="12">
        <v>379</v>
      </c>
      <c r="D13" s="8">
        <v>10.43</v>
      </c>
      <c r="E13" s="12">
        <v>17</v>
      </c>
      <c r="F13" s="8">
        <v>1.96</v>
      </c>
      <c r="G13" s="12">
        <v>361</v>
      </c>
      <c r="H13" s="8">
        <v>13.07</v>
      </c>
      <c r="I13" s="12">
        <v>1</v>
      </c>
    </row>
    <row r="14" spans="2:9" ht="15" customHeight="1" x14ac:dyDescent="0.15">
      <c r="B14" t="s">
        <v>71</v>
      </c>
      <c r="C14" s="12">
        <v>188</v>
      </c>
      <c r="D14" s="8">
        <v>5.17</v>
      </c>
      <c r="E14" s="12">
        <v>60</v>
      </c>
      <c r="F14" s="8">
        <v>6.93</v>
      </c>
      <c r="G14" s="12">
        <v>126</v>
      </c>
      <c r="H14" s="8">
        <v>4.5599999999999996</v>
      </c>
      <c r="I14" s="12">
        <v>2</v>
      </c>
    </row>
    <row r="15" spans="2:9" ht="15" customHeight="1" x14ac:dyDescent="0.15">
      <c r="B15" t="s">
        <v>72</v>
      </c>
      <c r="C15" s="12">
        <v>201</v>
      </c>
      <c r="D15" s="8">
        <v>5.53</v>
      </c>
      <c r="E15" s="12">
        <v>120</v>
      </c>
      <c r="F15" s="8">
        <v>13.86</v>
      </c>
      <c r="G15" s="12">
        <v>81</v>
      </c>
      <c r="H15" s="8">
        <v>2.93</v>
      </c>
      <c r="I15" s="12">
        <v>0</v>
      </c>
    </row>
    <row r="16" spans="2:9" ht="15" customHeight="1" x14ac:dyDescent="0.15">
      <c r="B16" t="s">
        <v>73</v>
      </c>
      <c r="C16" s="12">
        <v>297</v>
      </c>
      <c r="D16" s="8">
        <v>8.18</v>
      </c>
      <c r="E16" s="12">
        <v>166</v>
      </c>
      <c r="F16" s="8">
        <v>19.170000000000002</v>
      </c>
      <c r="G16" s="12">
        <v>131</v>
      </c>
      <c r="H16" s="8">
        <v>4.74</v>
      </c>
      <c r="I16" s="12">
        <v>0</v>
      </c>
    </row>
    <row r="17" spans="2:9" ht="15" customHeight="1" x14ac:dyDescent="0.15">
      <c r="B17" t="s">
        <v>74</v>
      </c>
      <c r="C17" s="12">
        <v>156</v>
      </c>
      <c r="D17" s="8">
        <v>4.29</v>
      </c>
      <c r="E17" s="12">
        <v>74</v>
      </c>
      <c r="F17" s="8">
        <v>8.5500000000000007</v>
      </c>
      <c r="G17" s="12">
        <v>82</v>
      </c>
      <c r="H17" s="8">
        <v>2.97</v>
      </c>
      <c r="I17" s="12">
        <v>0</v>
      </c>
    </row>
    <row r="18" spans="2:9" ht="15" customHeight="1" x14ac:dyDescent="0.15">
      <c r="B18" t="s">
        <v>75</v>
      </c>
      <c r="C18" s="12">
        <v>166</v>
      </c>
      <c r="D18" s="8">
        <v>4.57</v>
      </c>
      <c r="E18" s="12">
        <v>93</v>
      </c>
      <c r="F18" s="8">
        <v>10.74</v>
      </c>
      <c r="G18" s="12">
        <v>73</v>
      </c>
      <c r="H18" s="8">
        <v>2.64</v>
      </c>
      <c r="I18" s="12">
        <v>0</v>
      </c>
    </row>
    <row r="19" spans="2:9" ht="15" customHeight="1" x14ac:dyDescent="0.15">
      <c r="B19" t="s">
        <v>76</v>
      </c>
      <c r="C19" s="12">
        <v>187</v>
      </c>
      <c r="D19" s="8">
        <v>5.15</v>
      </c>
      <c r="E19" s="12">
        <v>39</v>
      </c>
      <c r="F19" s="8">
        <v>4.5</v>
      </c>
      <c r="G19" s="12">
        <v>147</v>
      </c>
      <c r="H19" s="8">
        <v>5.32</v>
      </c>
      <c r="I19" s="12">
        <v>1</v>
      </c>
    </row>
    <row r="20" spans="2:9" ht="15" customHeight="1" x14ac:dyDescent="0.15">
      <c r="B20" s="9" t="s">
        <v>216</v>
      </c>
      <c r="C20" s="12">
        <f>SUM(LTBL_14118[総数／事業所数])</f>
        <v>3633</v>
      </c>
      <c r="E20" s="12">
        <f>SUBTOTAL(109,LTBL_14118[個人／事業所数])</f>
        <v>866</v>
      </c>
      <c r="G20" s="12">
        <f>SUBTOTAL(109,LTBL_14118[法人／事業所数])</f>
        <v>2763</v>
      </c>
      <c r="I20" s="12">
        <f>SUBTOTAL(109,LTBL_14118[法人以外の団体／事業所数])</f>
        <v>4</v>
      </c>
    </row>
    <row r="21" spans="2:9" ht="15" customHeight="1" x14ac:dyDescent="0.15">
      <c r="E21" s="11">
        <f>LTBL_14118[[#Totals],[個人／事業所数]]/LTBL_14118[[#Totals],[総数／事業所数]]</f>
        <v>0.23837049270575283</v>
      </c>
      <c r="G21" s="11">
        <f>LTBL_14118[[#Totals],[法人／事業所数]]/LTBL_14118[[#Totals],[総数／事業所数]]</f>
        <v>0.76052848885218827</v>
      </c>
      <c r="I21" s="11">
        <f>LTBL_14118[[#Totals],[法人以外の団体／事業所数]]/LTBL_14118[[#Totals],[総数／事業所数]]</f>
        <v>1.1010184420589045E-3</v>
      </c>
    </row>
    <row r="23" spans="2:9" ht="33" customHeight="1" x14ac:dyDescent="0.15">
      <c r="B23" t="s">
        <v>215</v>
      </c>
      <c r="C23" s="10" t="s">
        <v>78</v>
      </c>
      <c r="D23" s="10" t="s">
        <v>292</v>
      </c>
      <c r="E23" s="10" t="s">
        <v>80</v>
      </c>
      <c r="F23" s="10" t="s">
        <v>293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21</v>
      </c>
      <c r="D24" t="s">
        <v>217</v>
      </c>
      <c r="E24">
        <v>0</v>
      </c>
      <c r="F24" t="s">
        <v>219</v>
      </c>
      <c r="G24">
        <v>21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294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299</v>
      </c>
      <c r="D29" s="8">
        <v>8.23</v>
      </c>
      <c r="E29" s="12">
        <v>16</v>
      </c>
      <c r="F29" s="8">
        <v>1.85</v>
      </c>
      <c r="G29" s="12">
        <v>282</v>
      </c>
      <c r="H29" s="8">
        <v>10.210000000000001</v>
      </c>
      <c r="I29" s="12">
        <v>1</v>
      </c>
    </row>
    <row r="30" spans="2:9" ht="15" customHeight="1" x14ac:dyDescent="0.15">
      <c r="B30" t="s">
        <v>100</v>
      </c>
      <c r="C30" s="12">
        <v>251</v>
      </c>
      <c r="D30" s="8">
        <v>6.91</v>
      </c>
      <c r="E30" s="12">
        <v>153</v>
      </c>
      <c r="F30" s="8">
        <v>17.670000000000002</v>
      </c>
      <c r="G30" s="12">
        <v>98</v>
      </c>
      <c r="H30" s="8">
        <v>3.55</v>
      </c>
      <c r="I30" s="12">
        <v>0</v>
      </c>
    </row>
    <row r="31" spans="2:9" ht="15" customHeight="1" x14ac:dyDescent="0.15">
      <c r="B31" t="s">
        <v>85</v>
      </c>
      <c r="C31" s="12">
        <v>225</v>
      </c>
      <c r="D31" s="8">
        <v>6.19</v>
      </c>
      <c r="E31" s="12">
        <v>21</v>
      </c>
      <c r="F31" s="8">
        <v>2.42</v>
      </c>
      <c r="G31" s="12">
        <v>204</v>
      </c>
      <c r="H31" s="8">
        <v>7.38</v>
      </c>
      <c r="I31" s="12">
        <v>0</v>
      </c>
    </row>
    <row r="32" spans="2:9" ht="15" customHeight="1" x14ac:dyDescent="0.15">
      <c r="B32" t="s">
        <v>86</v>
      </c>
      <c r="C32" s="12">
        <v>203</v>
      </c>
      <c r="D32" s="8">
        <v>5.59</v>
      </c>
      <c r="E32" s="12">
        <v>27</v>
      </c>
      <c r="F32" s="8">
        <v>3.12</v>
      </c>
      <c r="G32" s="12">
        <v>176</v>
      </c>
      <c r="H32" s="8">
        <v>6.37</v>
      </c>
      <c r="I32" s="12">
        <v>0</v>
      </c>
    </row>
    <row r="33" spans="2:9" ht="15" customHeight="1" x14ac:dyDescent="0.15">
      <c r="B33" t="s">
        <v>88</v>
      </c>
      <c r="C33" s="12">
        <v>176</v>
      </c>
      <c r="D33" s="8">
        <v>4.84</v>
      </c>
      <c r="E33" s="12">
        <v>24</v>
      </c>
      <c r="F33" s="8">
        <v>2.77</v>
      </c>
      <c r="G33" s="12">
        <v>152</v>
      </c>
      <c r="H33" s="8">
        <v>5.5</v>
      </c>
      <c r="I33" s="12">
        <v>0</v>
      </c>
    </row>
    <row r="34" spans="2:9" ht="15" customHeight="1" x14ac:dyDescent="0.15">
      <c r="B34" t="s">
        <v>99</v>
      </c>
      <c r="C34" s="12">
        <v>171</v>
      </c>
      <c r="D34" s="8">
        <v>4.71</v>
      </c>
      <c r="E34" s="12">
        <v>114</v>
      </c>
      <c r="F34" s="8">
        <v>13.16</v>
      </c>
      <c r="G34" s="12">
        <v>57</v>
      </c>
      <c r="H34" s="8">
        <v>2.06</v>
      </c>
      <c r="I34" s="12">
        <v>0</v>
      </c>
    </row>
    <row r="35" spans="2:9" ht="15" customHeight="1" x14ac:dyDescent="0.15">
      <c r="B35" t="s">
        <v>94</v>
      </c>
      <c r="C35" s="12">
        <v>156</v>
      </c>
      <c r="D35" s="8">
        <v>4.29</v>
      </c>
      <c r="E35" s="12">
        <v>44</v>
      </c>
      <c r="F35" s="8">
        <v>5.08</v>
      </c>
      <c r="G35" s="12">
        <v>112</v>
      </c>
      <c r="H35" s="8">
        <v>4.05</v>
      </c>
      <c r="I35" s="12">
        <v>0</v>
      </c>
    </row>
    <row r="36" spans="2:9" ht="15" customHeight="1" x14ac:dyDescent="0.15">
      <c r="B36" t="s">
        <v>102</v>
      </c>
      <c r="C36" s="12">
        <v>156</v>
      </c>
      <c r="D36" s="8">
        <v>4.29</v>
      </c>
      <c r="E36" s="12">
        <v>74</v>
      </c>
      <c r="F36" s="8">
        <v>8.5500000000000007</v>
      </c>
      <c r="G36" s="12">
        <v>82</v>
      </c>
      <c r="H36" s="8">
        <v>2.97</v>
      </c>
      <c r="I36" s="12">
        <v>0</v>
      </c>
    </row>
    <row r="37" spans="2:9" ht="15" customHeight="1" x14ac:dyDescent="0.15">
      <c r="B37" t="s">
        <v>87</v>
      </c>
      <c r="C37" s="12">
        <v>140</v>
      </c>
      <c r="D37" s="8">
        <v>3.85</v>
      </c>
      <c r="E37" s="12">
        <v>17</v>
      </c>
      <c r="F37" s="8">
        <v>1.96</v>
      </c>
      <c r="G37" s="12">
        <v>123</v>
      </c>
      <c r="H37" s="8">
        <v>4.45</v>
      </c>
      <c r="I37" s="12">
        <v>0</v>
      </c>
    </row>
    <row r="38" spans="2:9" ht="15" customHeight="1" x14ac:dyDescent="0.15">
      <c r="B38" t="s">
        <v>93</v>
      </c>
      <c r="C38" s="12">
        <v>139</v>
      </c>
      <c r="D38" s="8">
        <v>3.83</v>
      </c>
      <c r="E38" s="12">
        <v>32</v>
      </c>
      <c r="F38" s="8">
        <v>3.7</v>
      </c>
      <c r="G38" s="12">
        <v>107</v>
      </c>
      <c r="H38" s="8">
        <v>3.87</v>
      </c>
      <c r="I38" s="12">
        <v>0</v>
      </c>
    </row>
    <row r="39" spans="2:9" ht="15" customHeight="1" x14ac:dyDescent="0.15">
      <c r="B39" t="s">
        <v>89</v>
      </c>
      <c r="C39" s="12">
        <v>120</v>
      </c>
      <c r="D39" s="8">
        <v>3.3</v>
      </c>
      <c r="E39" s="12">
        <v>23</v>
      </c>
      <c r="F39" s="8">
        <v>2.66</v>
      </c>
      <c r="G39" s="12">
        <v>97</v>
      </c>
      <c r="H39" s="8">
        <v>3.51</v>
      </c>
      <c r="I39" s="12">
        <v>0</v>
      </c>
    </row>
    <row r="40" spans="2:9" ht="15" customHeight="1" x14ac:dyDescent="0.15">
      <c r="B40" t="s">
        <v>103</v>
      </c>
      <c r="C40" s="12">
        <v>112</v>
      </c>
      <c r="D40" s="8">
        <v>3.08</v>
      </c>
      <c r="E40" s="12">
        <v>90</v>
      </c>
      <c r="F40" s="8">
        <v>10.39</v>
      </c>
      <c r="G40" s="12">
        <v>22</v>
      </c>
      <c r="H40" s="8">
        <v>0.8</v>
      </c>
      <c r="I40" s="12">
        <v>0</v>
      </c>
    </row>
    <row r="41" spans="2:9" ht="15" customHeight="1" x14ac:dyDescent="0.15">
      <c r="B41" t="s">
        <v>91</v>
      </c>
      <c r="C41" s="12">
        <v>109</v>
      </c>
      <c r="D41" s="8">
        <v>3</v>
      </c>
      <c r="E41" s="12">
        <v>13</v>
      </c>
      <c r="F41" s="8">
        <v>1.5</v>
      </c>
      <c r="G41" s="12">
        <v>96</v>
      </c>
      <c r="H41" s="8">
        <v>3.47</v>
      </c>
      <c r="I41" s="12">
        <v>0</v>
      </c>
    </row>
    <row r="42" spans="2:9" ht="15" customHeight="1" x14ac:dyDescent="0.15">
      <c r="B42" t="s">
        <v>97</v>
      </c>
      <c r="C42" s="12">
        <v>93</v>
      </c>
      <c r="D42" s="8">
        <v>2.56</v>
      </c>
      <c r="E42" s="12">
        <v>40</v>
      </c>
      <c r="F42" s="8">
        <v>4.62</v>
      </c>
      <c r="G42" s="12">
        <v>51</v>
      </c>
      <c r="H42" s="8">
        <v>1.85</v>
      </c>
      <c r="I42" s="12">
        <v>2</v>
      </c>
    </row>
    <row r="43" spans="2:9" ht="15" customHeight="1" x14ac:dyDescent="0.15">
      <c r="B43" t="s">
        <v>98</v>
      </c>
      <c r="C43" s="12">
        <v>88</v>
      </c>
      <c r="D43" s="8">
        <v>2.42</v>
      </c>
      <c r="E43" s="12">
        <v>20</v>
      </c>
      <c r="F43" s="8">
        <v>2.31</v>
      </c>
      <c r="G43" s="12">
        <v>68</v>
      </c>
      <c r="H43" s="8">
        <v>2.46</v>
      </c>
      <c r="I43" s="12">
        <v>0</v>
      </c>
    </row>
    <row r="44" spans="2:9" ht="15" customHeight="1" x14ac:dyDescent="0.15">
      <c r="B44" t="s">
        <v>117</v>
      </c>
      <c r="C44" s="12">
        <v>87</v>
      </c>
      <c r="D44" s="8">
        <v>2.39</v>
      </c>
      <c r="E44" s="12">
        <v>27</v>
      </c>
      <c r="F44" s="8">
        <v>3.12</v>
      </c>
      <c r="G44" s="12">
        <v>60</v>
      </c>
      <c r="H44" s="8">
        <v>2.17</v>
      </c>
      <c r="I44" s="12">
        <v>0</v>
      </c>
    </row>
    <row r="45" spans="2:9" ht="15" customHeight="1" x14ac:dyDescent="0.15">
      <c r="B45" t="s">
        <v>90</v>
      </c>
      <c r="C45" s="12">
        <v>84</v>
      </c>
      <c r="D45" s="8">
        <v>2.31</v>
      </c>
      <c r="E45" s="12">
        <v>2</v>
      </c>
      <c r="F45" s="8">
        <v>0.23</v>
      </c>
      <c r="G45" s="12">
        <v>82</v>
      </c>
      <c r="H45" s="8">
        <v>2.97</v>
      </c>
      <c r="I45" s="12">
        <v>0</v>
      </c>
    </row>
    <row r="46" spans="2:9" ht="15" customHeight="1" x14ac:dyDescent="0.15">
      <c r="B46" t="s">
        <v>92</v>
      </c>
      <c r="C46" s="12">
        <v>66</v>
      </c>
      <c r="D46" s="8">
        <v>1.82</v>
      </c>
      <c r="E46" s="12">
        <v>28</v>
      </c>
      <c r="F46" s="8">
        <v>3.23</v>
      </c>
      <c r="G46" s="12">
        <v>38</v>
      </c>
      <c r="H46" s="8">
        <v>1.38</v>
      </c>
      <c r="I46" s="12">
        <v>0</v>
      </c>
    </row>
    <row r="47" spans="2:9" ht="15" customHeight="1" x14ac:dyDescent="0.15">
      <c r="B47" t="s">
        <v>119</v>
      </c>
      <c r="C47" s="12">
        <v>62</v>
      </c>
      <c r="D47" s="8">
        <v>1.71</v>
      </c>
      <c r="E47" s="12">
        <v>8</v>
      </c>
      <c r="F47" s="8">
        <v>0.92</v>
      </c>
      <c r="G47" s="12">
        <v>54</v>
      </c>
      <c r="H47" s="8">
        <v>1.95</v>
      </c>
      <c r="I47" s="12">
        <v>0</v>
      </c>
    </row>
    <row r="48" spans="2:9" ht="15" customHeight="1" x14ac:dyDescent="0.15">
      <c r="B48" t="s">
        <v>95</v>
      </c>
      <c r="C48" s="12">
        <v>60</v>
      </c>
      <c r="D48" s="8">
        <v>1.65</v>
      </c>
      <c r="E48" s="12">
        <v>0</v>
      </c>
      <c r="F48" s="8">
        <v>0</v>
      </c>
      <c r="G48" s="12">
        <v>60</v>
      </c>
      <c r="H48" s="8">
        <v>2.17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126</v>
      </c>
      <c r="D52" s="8">
        <v>3.47</v>
      </c>
      <c r="E52" s="12">
        <v>86</v>
      </c>
      <c r="F52" s="8">
        <v>9.93</v>
      </c>
      <c r="G52" s="12">
        <v>40</v>
      </c>
      <c r="H52" s="8">
        <v>1.45</v>
      </c>
      <c r="I52" s="12">
        <v>0</v>
      </c>
    </row>
    <row r="53" spans="2:9" ht="15" customHeight="1" x14ac:dyDescent="0.15">
      <c r="B53" t="s">
        <v>149</v>
      </c>
      <c r="C53" s="12">
        <v>123</v>
      </c>
      <c r="D53" s="8">
        <v>3.39</v>
      </c>
      <c r="E53" s="12">
        <v>2</v>
      </c>
      <c r="F53" s="8">
        <v>0.23</v>
      </c>
      <c r="G53" s="12">
        <v>121</v>
      </c>
      <c r="H53" s="8">
        <v>4.38</v>
      </c>
      <c r="I53" s="12">
        <v>0</v>
      </c>
    </row>
    <row r="54" spans="2:9" ht="15" customHeight="1" x14ac:dyDescent="0.15">
      <c r="B54" t="s">
        <v>144</v>
      </c>
      <c r="C54" s="12">
        <v>112</v>
      </c>
      <c r="D54" s="8">
        <v>3.08</v>
      </c>
      <c r="E54" s="12">
        <v>24</v>
      </c>
      <c r="F54" s="8">
        <v>2.77</v>
      </c>
      <c r="G54" s="12">
        <v>88</v>
      </c>
      <c r="H54" s="8">
        <v>3.18</v>
      </c>
      <c r="I54" s="12">
        <v>0</v>
      </c>
    </row>
    <row r="55" spans="2:9" ht="15" customHeight="1" x14ac:dyDescent="0.15">
      <c r="B55" t="s">
        <v>156</v>
      </c>
      <c r="C55" s="12">
        <v>109</v>
      </c>
      <c r="D55" s="8">
        <v>3</v>
      </c>
      <c r="E55" s="12">
        <v>55</v>
      </c>
      <c r="F55" s="8">
        <v>6.35</v>
      </c>
      <c r="G55" s="12">
        <v>54</v>
      </c>
      <c r="H55" s="8">
        <v>1.95</v>
      </c>
      <c r="I55" s="12">
        <v>0</v>
      </c>
    </row>
    <row r="56" spans="2:9" ht="15" customHeight="1" x14ac:dyDescent="0.15">
      <c r="B56" t="s">
        <v>148</v>
      </c>
      <c r="C56" s="12">
        <v>102</v>
      </c>
      <c r="D56" s="8">
        <v>2.81</v>
      </c>
      <c r="E56" s="12">
        <v>9</v>
      </c>
      <c r="F56" s="8">
        <v>1.04</v>
      </c>
      <c r="G56" s="12">
        <v>93</v>
      </c>
      <c r="H56" s="8">
        <v>3.37</v>
      </c>
      <c r="I56" s="12">
        <v>0</v>
      </c>
    </row>
    <row r="57" spans="2:9" ht="15" customHeight="1" x14ac:dyDescent="0.15">
      <c r="B57" t="s">
        <v>181</v>
      </c>
      <c r="C57" s="12">
        <v>86</v>
      </c>
      <c r="D57" s="8">
        <v>2.37</v>
      </c>
      <c r="E57" s="12">
        <v>27</v>
      </c>
      <c r="F57" s="8">
        <v>3.12</v>
      </c>
      <c r="G57" s="12">
        <v>59</v>
      </c>
      <c r="H57" s="8">
        <v>2.14</v>
      </c>
      <c r="I57" s="12">
        <v>0</v>
      </c>
    </row>
    <row r="58" spans="2:9" ht="15" customHeight="1" x14ac:dyDescent="0.15">
      <c r="B58" t="s">
        <v>157</v>
      </c>
      <c r="C58" s="12">
        <v>76</v>
      </c>
      <c r="D58" s="8">
        <v>2.09</v>
      </c>
      <c r="E58" s="12">
        <v>57</v>
      </c>
      <c r="F58" s="8">
        <v>6.58</v>
      </c>
      <c r="G58" s="12">
        <v>19</v>
      </c>
      <c r="H58" s="8">
        <v>0.69</v>
      </c>
      <c r="I58" s="12">
        <v>0</v>
      </c>
    </row>
    <row r="59" spans="2:9" ht="15" customHeight="1" x14ac:dyDescent="0.15">
      <c r="B59" t="s">
        <v>158</v>
      </c>
      <c r="C59" s="12">
        <v>67</v>
      </c>
      <c r="D59" s="8">
        <v>1.84</v>
      </c>
      <c r="E59" s="12">
        <v>4</v>
      </c>
      <c r="F59" s="8">
        <v>0.46</v>
      </c>
      <c r="G59" s="12">
        <v>63</v>
      </c>
      <c r="H59" s="8">
        <v>2.2799999999999998</v>
      </c>
      <c r="I59" s="12">
        <v>0</v>
      </c>
    </row>
    <row r="60" spans="2:9" ht="15" customHeight="1" x14ac:dyDescent="0.15">
      <c r="B60" t="s">
        <v>147</v>
      </c>
      <c r="C60" s="12">
        <v>66</v>
      </c>
      <c r="D60" s="8">
        <v>1.82</v>
      </c>
      <c r="E60" s="12">
        <v>5</v>
      </c>
      <c r="F60" s="8">
        <v>0.57999999999999996</v>
      </c>
      <c r="G60" s="12">
        <v>60</v>
      </c>
      <c r="H60" s="8">
        <v>2.17</v>
      </c>
      <c r="I60" s="12">
        <v>1</v>
      </c>
    </row>
    <row r="61" spans="2:9" ht="15" customHeight="1" x14ac:dyDescent="0.15">
      <c r="B61" t="s">
        <v>176</v>
      </c>
      <c r="C61" s="12">
        <v>65</v>
      </c>
      <c r="D61" s="8">
        <v>1.79</v>
      </c>
      <c r="E61" s="12">
        <v>6</v>
      </c>
      <c r="F61" s="8">
        <v>0.69</v>
      </c>
      <c r="G61" s="12">
        <v>59</v>
      </c>
      <c r="H61" s="8">
        <v>2.14</v>
      </c>
      <c r="I61" s="12">
        <v>0</v>
      </c>
    </row>
    <row r="62" spans="2:9" ht="15" customHeight="1" x14ac:dyDescent="0.15">
      <c r="B62" t="s">
        <v>141</v>
      </c>
      <c r="C62" s="12">
        <v>63</v>
      </c>
      <c r="D62" s="8">
        <v>1.73</v>
      </c>
      <c r="E62" s="12">
        <v>7</v>
      </c>
      <c r="F62" s="8">
        <v>0.81</v>
      </c>
      <c r="G62" s="12">
        <v>56</v>
      </c>
      <c r="H62" s="8">
        <v>2.0299999999999998</v>
      </c>
      <c r="I62" s="12">
        <v>0</v>
      </c>
    </row>
    <row r="63" spans="2:9" ht="15" customHeight="1" x14ac:dyDescent="0.15">
      <c r="B63" t="s">
        <v>139</v>
      </c>
      <c r="C63" s="12">
        <v>57</v>
      </c>
      <c r="D63" s="8">
        <v>1.57</v>
      </c>
      <c r="E63" s="12">
        <v>5</v>
      </c>
      <c r="F63" s="8">
        <v>0.57999999999999996</v>
      </c>
      <c r="G63" s="12">
        <v>52</v>
      </c>
      <c r="H63" s="8">
        <v>1.88</v>
      </c>
      <c r="I63" s="12">
        <v>0</v>
      </c>
    </row>
    <row r="64" spans="2:9" ht="15" customHeight="1" x14ac:dyDescent="0.15">
      <c r="B64" t="s">
        <v>150</v>
      </c>
      <c r="C64" s="12">
        <v>57</v>
      </c>
      <c r="D64" s="8">
        <v>1.57</v>
      </c>
      <c r="E64" s="12">
        <v>39</v>
      </c>
      <c r="F64" s="8">
        <v>4.5</v>
      </c>
      <c r="G64" s="12">
        <v>18</v>
      </c>
      <c r="H64" s="8">
        <v>0.65</v>
      </c>
      <c r="I64" s="12">
        <v>0</v>
      </c>
    </row>
    <row r="65" spans="2:9" ht="15" customHeight="1" x14ac:dyDescent="0.15">
      <c r="B65" t="s">
        <v>177</v>
      </c>
      <c r="C65" s="12">
        <v>56</v>
      </c>
      <c r="D65" s="8">
        <v>1.54</v>
      </c>
      <c r="E65" s="12">
        <v>12</v>
      </c>
      <c r="F65" s="8">
        <v>1.39</v>
      </c>
      <c r="G65" s="12">
        <v>44</v>
      </c>
      <c r="H65" s="8">
        <v>1.59</v>
      </c>
      <c r="I65" s="12">
        <v>0</v>
      </c>
    </row>
    <row r="66" spans="2:9" ht="15" customHeight="1" x14ac:dyDescent="0.15">
      <c r="B66" t="s">
        <v>171</v>
      </c>
      <c r="C66" s="12">
        <v>52</v>
      </c>
      <c r="D66" s="8">
        <v>1.43</v>
      </c>
      <c r="E66" s="12">
        <v>7</v>
      </c>
      <c r="F66" s="8">
        <v>0.81</v>
      </c>
      <c r="G66" s="12">
        <v>45</v>
      </c>
      <c r="H66" s="8">
        <v>1.63</v>
      </c>
      <c r="I66" s="12">
        <v>0</v>
      </c>
    </row>
    <row r="67" spans="2:9" ht="15" customHeight="1" x14ac:dyDescent="0.15">
      <c r="B67" t="s">
        <v>145</v>
      </c>
      <c r="C67" s="12">
        <v>50</v>
      </c>
      <c r="D67" s="8">
        <v>1.38</v>
      </c>
      <c r="E67" s="12">
        <v>21</v>
      </c>
      <c r="F67" s="8">
        <v>2.42</v>
      </c>
      <c r="G67" s="12">
        <v>29</v>
      </c>
      <c r="H67" s="8">
        <v>1.05</v>
      </c>
      <c r="I67" s="12">
        <v>0</v>
      </c>
    </row>
    <row r="68" spans="2:9" ht="15" customHeight="1" x14ac:dyDescent="0.15">
      <c r="B68" t="s">
        <v>154</v>
      </c>
      <c r="C68" s="12">
        <v>48</v>
      </c>
      <c r="D68" s="8">
        <v>1.32</v>
      </c>
      <c r="E68" s="12">
        <v>38</v>
      </c>
      <c r="F68" s="8">
        <v>4.3899999999999997</v>
      </c>
      <c r="G68" s="12">
        <v>10</v>
      </c>
      <c r="H68" s="8">
        <v>0.36</v>
      </c>
      <c r="I68" s="12">
        <v>0</v>
      </c>
    </row>
    <row r="69" spans="2:9" ht="15" customHeight="1" x14ac:dyDescent="0.15">
      <c r="B69" t="s">
        <v>174</v>
      </c>
      <c r="C69" s="12">
        <v>47</v>
      </c>
      <c r="D69" s="8">
        <v>1.29</v>
      </c>
      <c r="E69" s="12">
        <v>8</v>
      </c>
      <c r="F69" s="8">
        <v>0.92</v>
      </c>
      <c r="G69" s="12">
        <v>39</v>
      </c>
      <c r="H69" s="8">
        <v>1.41</v>
      </c>
      <c r="I69" s="12">
        <v>0</v>
      </c>
    </row>
    <row r="70" spans="2:9" ht="15" customHeight="1" x14ac:dyDescent="0.15">
      <c r="B70" t="s">
        <v>153</v>
      </c>
      <c r="C70" s="12">
        <v>47</v>
      </c>
      <c r="D70" s="8">
        <v>1.29</v>
      </c>
      <c r="E70" s="12">
        <v>16</v>
      </c>
      <c r="F70" s="8">
        <v>1.85</v>
      </c>
      <c r="G70" s="12">
        <v>31</v>
      </c>
      <c r="H70" s="8">
        <v>1.1200000000000001</v>
      </c>
      <c r="I70" s="12">
        <v>0</v>
      </c>
    </row>
    <row r="71" spans="2:9" ht="15" customHeight="1" x14ac:dyDescent="0.15">
      <c r="B71" t="s">
        <v>140</v>
      </c>
      <c r="C71" s="12">
        <v>46</v>
      </c>
      <c r="D71" s="8">
        <v>1.27</v>
      </c>
      <c r="E71" s="12">
        <v>9</v>
      </c>
      <c r="F71" s="8">
        <v>1.04</v>
      </c>
      <c r="G71" s="12">
        <v>37</v>
      </c>
      <c r="H71" s="8">
        <v>1.34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295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3058</v>
      </c>
      <c r="D6" s="8">
        <v>13.62</v>
      </c>
      <c r="E6" s="12">
        <v>461</v>
      </c>
      <c r="F6" s="8">
        <v>4.8899999999999997</v>
      </c>
      <c r="G6" s="12">
        <v>2597</v>
      </c>
      <c r="H6" s="8">
        <v>19.96</v>
      </c>
      <c r="I6" s="12">
        <v>0</v>
      </c>
    </row>
    <row r="7" spans="2:9" ht="15" customHeight="1" x14ac:dyDescent="0.15">
      <c r="B7" t="s">
        <v>64</v>
      </c>
      <c r="C7" s="12">
        <v>2162</v>
      </c>
      <c r="D7" s="8">
        <v>9.6300000000000008</v>
      </c>
      <c r="E7" s="12">
        <v>419</v>
      </c>
      <c r="F7" s="8">
        <v>4.45</v>
      </c>
      <c r="G7" s="12">
        <v>1743</v>
      </c>
      <c r="H7" s="8">
        <v>13.4</v>
      </c>
      <c r="I7" s="12">
        <v>0</v>
      </c>
    </row>
    <row r="8" spans="2:9" ht="15" customHeight="1" x14ac:dyDescent="0.15">
      <c r="B8" t="s">
        <v>65</v>
      </c>
      <c r="C8" s="12">
        <v>4</v>
      </c>
      <c r="D8" s="8">
        <v>0.02</v>
      </c>
      <c r="E8" s="12">
        <v>0</v>
      </c>
      <c r="F8" s="8">
        <v>0</v>
      </c>
      <c r="G8" s="12">
        <v>4</v>
      </c>
      <c r="H8" s="8">
        <v>0.03</v>
      </c>
      <c r="I8" s="12">
        <v>0</v>
      </c>
    </row>
    <row r="9" spans="2:9" ht="15" customHeight="1" x14ac:dyDescent="0.15">
      <c r="B9" t="s">
        <v>66</v>
      </c>
      <c r="C9" s="12">
        <v>322</v>
      </c>
      <c r="D9" s="8">
        <v>1.43</v>
      </c>
      <c r="E9" s="12">
        <v>5</v>
      </c>
      <c r="F9" s="8">
        <v>0.05</v>
      </c>
      <c r="G9" s="12">
        <v>317</v>
      </c>
      <c r="H9" s="8">
        <v>2.44</v>
      </c>
      <c r="I9" s="12">
        <v>0</v>
      </c>
    </row>
    <row r="10" spans="2:9" ht="15" customHeight="1" x14ac:dyDescent="0.15">
      <c r="B10" t="s">
        <v>67</v>
      </c>
      <c r="C10" s="12">
        <v>444</v>
      </c>
      <c r="D10" s="8">
        <v>1.98</v>
      </c>
      <c r="E10" s="12">
        <v>218</v>
      </c>
      <c r="F10" s="8">
        <v>2.31</v>
      </c>
      <c r="G10" s="12">
        <v>226</v>
      </c>
      <c r="H10" s="8">
        <v>1.74</v>
      </c>
      <c r="I10" s="12">
        <v>0</v>
      </c>
    </row>
    <row r="11" spans="2:9" ht="15" customHeight="1" x14ac:dyDescent="0.15">
      <c r="B11" t="s">
        <v>68</v>
      </c>
      <c r="C11" s="12">
        <v>4306</v>
      </c>
      <c r="D11" s="8">
        <v>19.18</v>
      </c>
      <c r="E11" s="12">
        <v>1517</v>
      </c>
      <c r="F11" s="8">
        <v>16.100000000000001</v>
      </c>
      <c r="G11" s="12">
        <v>2787</v>
      </c>
      <c r="H11" s="8">
        <v>21.42</v>
      </c>
      <c r="I11" s="12">
        <v>2</v>
      </c>
    </row>
    <row r="12" spans="2:9" ht="15" customHeight="1" x14ac:dyDescent="0.15">
      <c r="B12" t="s">
        <v>69</v>
      </c>
      <c r="C12" s="12">
        <v>94</v>
      </c>
      <c r="D12" s="8">
        <v>0.42</v>
      </c>
      <c r="E12" s="12">
        <v>7</v>
      </c>
      <c r="F12" s="8">
        <v>7.0000000000000007E-2</v>
      </c>
      <c r="G12" s="12">
        <v>87</v>
      </c>
      <c r="H12" s="8">
        <v>0.67</v>
      </c>
      <c r="I12" s="12">
        <v>0</v>
      </c>
    </row>
    <row r="13" spans="2:9" ht="15" customHeight="1" x14ac:dyDescent="0.15">
      <c r="B13" t="s">
        <v>70</v>
      </c>
      <c r="C13" s="12">
        <v>3097</v>
      </c>
      <c r="D13" s="8">
        <v>13.79</v>
      </c>
      <c r="E13" s="12">
        <v>1211</v>
      </c>
      <c r="F13" s="8">
        <v>12.85</v>
      </c>
      <c r="G13" s="12">
        <v>1885</v>
      </c>
      <c r="H13" s="8">
        <v>14.49</v>
      </c>
      <c r="I13" s="12">
        <v>1</v>
      </c>
    </row>
    <row r="14" spans="2:9" ht="15" customHeight="1" x14ac:dyDescent="0.15">
      <c r="B14" t="s">
        <v>71</v>
      </c>
      <c r="C14" s="12">
        <v>1107</v>
      </c>
      <c r="D14" s="8">
        <v>4.93</v>
      </c>
      <c r="E14" s="12">
        <v>435</v>
      </c>
      <c r="F14" s="8">
        <v>4.62</v>
      </c>
      <c r="G14" s="12">
        <v>671</v>
      </c>
      <c r="H14" s="8">
        <v>5.16</v>
      </c>
      <c r="I14" s="12">
        <v>1</v>
      </c>
    </row>
    <row r="15" spans="2:9" ht="15" customHeight="1" x14ac:dyDescent="0.15">
      <c r="B15" t="s">
        <v>72</v>
      </c>
      <c r="C15" s="12">
        <v>2946</v>
      </c>
      <c r="D15" s="8">
        <v>13.12</v>
      </c>
      <c r="E15" s="12">
        <v>2204</v>
      </c>
      <c r="F15" s="8">
        <v>23.38</v>
      </c>
      <c r="G15" s="12">
        <v>741</v>
      </c>
      <c r="H15" s="8">
        <v>5.69</v>
      </c>
      <c r="I15" s="12">
        <v>1</v>
      </c>
    </row>
    <row r="16" spans="2:9" ht="15" customHeight="1" x14ac:dyDescent="0.15">
      <c r="B16" t="s">
        <v>73</v>
      </c>
      <c r="C16" s="12">
        <v>2412</v>
      </c>
      <c r="D16" s="8">
        <v>10.74</v>
      </c>
      <c r="E16" s="12">
        <v>1644</v>
      </c>
      <c r="F16" s="8">
        <v>17.440000000000001</v>
      </c>
      <c r="G16" s="12">
        <v>766</v>
      </c>
      <c r="H16" s="8">
        <v>5.89</v>
      </c>
      <c r="I16" s="12">
        <v>2</v>
      </c>
    </row>
    <row r="17" spans="2:9" ht="15" customHeight="1" x14ac:dyDescent="0.15">
      <c r="B17" t="s">
        <v>74</v>
      </c>
      <c r="C17" s="12">
        <v>692</v>
      </c>
      <c r="D17" s="8">
        <v>3.08</v>
      </c>
      <c r="E17" s="12">
        <v>444</v>
      </c>
      <c r="F17" s="8">
        <v>4.71</v>
      </c>
      <c r="G17" s="12">
        <v>245</v>
      </c>
      <c r="H17" s="8">
        <v>1.88</v>
      </c>
      <c r="I17" s="12">
        <v>3</v>
      </c>
    </row>
    <row r="18" spans="2:9" ht="15" customHeight="1" x14ac:dyDescent="0.15">
      <c r="B18" t="s">
        <v>75</v>
      </c>
      <c r="C18" s="12">
        <v>1153</v>
      </c>
      <c r="D18" s="8">
        <v>5.14</v>
      </c>
      <c r="E18" s="12">
        <v>725</v>
      </c>
      <c r="F18" s="8">
        <v>7.69</v>
      </c>
      <c r="G18" s="12">
        <v>426</v>
      </c>
      <c r="H18" s="8">
        <v>3.27</v>
      </c>
      <c r="I18" s="12">
        <v>2</v>
      </c>
    </row>
    <row r="19" spans="2:9" ht="15" customHeight="1" x14ac:dyDescent="0.15">
      <c r="B19" t="s">
        <v>76</v>
      </c>
      <c r="C19" s="12">
        <v>656</v>
      </c>
      <c r="D19" s="8">
        <v>2.92</v>
      </c>
      <c r="E19" s="12">
        <v>135</v>
      </c>
      <c r="F19" s="8">
        <v>1.43</v>
      </c>
      <c r="G19" s="12">
        <v>517</v>
      </c>
      <c r="H19" s="8">
        <v>3.97</v>
      </c>
      <c r="I19" s="12">
        <v>4</v>
      </c>
    </row>
    <row r="20" spans="2:9" ht="15" customHeight="1" x14ac:dyDescent="0.15">
      <c r="B20" s="9" t="s">
        <v>216</v>
      </c>
      <c r="C20" s="12">
        <f>SUM(LTBL_14130[総数／事業所数])</f>
        <v>22453</v>
      </c>
      <c r="E20" s="12">
        <f>SUBTOTAL(109,LTBL_14130[個人／事業所数])</f>
        <v>9425</v>
      </c>
      <c r="G20" s="12">
        <f>SUBTOTAL(109,LTBL_14130[法人／事業所数])</f>
        <v>13012</v>
      </c>
      <c r="I20" s="12">
        <f>SUBTOTAL(109,LTBL_14130[法人以外の団体／事業所数])</f>
        <v>16</v>
      </c>
    </row>
    <row r="21" spans="2:9" ht="15" customHeight="1" x14ac:dyDescent="0.15">
      <c r="E21" s="11">
        <f>LTBL_14130[[#Totals],[個人／事業所数]]/LTBL_14130[[#Totals],[総数／事業所数]]</f>
        <v>0.41976573286420521</v>
      </c>
      <c r="G21" s="11">
        <f>LTBL_14130[[#Totals],[法人／事業所数]]/LTBL_14130[[#Totals],[総数／事業所数]]</f>
        <v>0.57952166748318712</v>
      </c>
      <c r="I21" s="11">
        <f>LTBL_14130[[#Totals],[法人以外の団体／事業所数]]/LTBL_14130[[#Totals],[総数／事業所数]]</f>
        <v>7.1259965260766936E-4</v>
      </c>
    </row>
    <row r="23" spans="2:9" ht="33" customHeight="1" x14ac:dyDescent="0.15">
      <c r="B23" t="s">
        <v>215</v>
      </c>
      <c r="C23" s="10" t="s">
        <v>78</v>
      </c>
      <c r="D23" s="10" t="s">
        <v>296</v>
      </c>
      <c r="E23" s="10" t="s">
        <v>80</v>
      </c>
      <c r="F23" s="10" t="s">
        <v>297</v>
      </c>
      <c r="G23" s="10" t="s">
        <v>82</v>
      </c>
      <c r="H23" s="10" t="s">
        <v>298</v>
      </c>
      <c r="I23" s="10" t="s">
        <v>84</v>
      </c>
    </row>
    <row r="24" spans="2:9" ht="15" customHeight="1" x14ac:dyDescent="0.15">
      <c r="B24" t="s">
        <v>218</v>
      </c>
      <c r="C24">
        <v>47</v>
      </c>
      <c r="D24" t="s">
        <v>217</v>
      </c>
      <c r="E24">
        <v>0</v>
      </c>
      <c r="F24" t="s">
        <v>219</v>
      </c>
      <c r="G24">
        <v>47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2669</v>
      </c>
      <c r="D29" s="8">
        <v>11.89</v>
      </c>
      <c r="E29" s="12">
        <v>2176</v>
      </c>
      <c r="F29" s="8">
        <v>23.09</v>
      </c>
      <c r="G29" s="12">
        <v>492</v>
      </c>
      <c r="H29" s="8">
        <v>3.78</v>
      </c>
      <c r="I29" s="12">
        <v>1</v>
      </c>
    </row>
    <row r="30" spans="2:9" ht="15" customHeight="1" x14ac:dyDescent="0.15">
      <c r="B30" t="s">
        <v>96</v>
      </c>
      <c r="C30" s="12">
        <v>2529</v>
      </c>
      <c r="D30" s="8">
        <v>11.26</v>
      </c>
      <c r="E30" s="12">
        <v>1159</v>
      </c>
      <c r="F30" s="8">
        <v>12.3</v>
      </c>
      <c r="G30" s="12">
        <v>1369</v>
      </c>
      <c r="H30" s="8">
        <v>10.52</v>
      </c>
      <c r="I30" s="12">
        <v>1</v>
      </c>
    </row>
    <row r="31" spans="2:9" ht="15" customHeight="1" x14ac:dyDescent="0.15">
      <c r="B31" t="s">
        <v>100</v>
      </c>
      <c r="C31" s="12">
        <v>2008</v>
      </c>
      <c r="D31" s="8">
        <v>8.94</v>
      </c>
      <c r="E31" s="12">
        <v>1486</v>
      </c>
      <c r="F31" s="8">
        <v>15.77</v>
      </c>
      <c r="G31" s="12">
        <v>522</v>
      </c>
      <c r="H31" s="8">
        <v>4.01</v>
      </c>
      <c r="I31" s="12">
        <v>0</v>
      </c>
    </row>
    <row r="32" spans="2:9" ht="15" customHeight="1" x14ac:dyDescent="0.15">
      <c r="B32" t="s">
        <v>94</v>
      </c>
      <c r="C32" s="12">
        <v>1275</v>
      </c>
      <c r="D32" s="8">
        <v>5.68</v>
      </c>
      <c r="E32" s="12">
        <v>548</v>
      </c>
      <c r="F32" s="8">
        <v>5.81</v>
      </c>
      <c r="G32" s="12">
        <v>727</v>
      </c>
      <c r="H32" s="8">
        <v>5.59</v>
      </c>
      <c r="I32" s="12">
        <v>0</v>
      </c>
    </row>
    <row r="33" spans="2:9" ht="15" customHeight="1" x14ac:dyDescent="0.15">
      <c r="B33" t="s">
        <v>86</v>
      </c>
      <c r="C33" s="12">
        <v>1079</v>
      </c>
      <c r="D33" s="8">
        <v>4.8099999999999996</v>
      </c>
      <c r="E33" s="12">
        <v>247</v>
      </c>
      <c r="F33" s="8">
        <v>2.62</v>
      </c>
      <c r="G33" s="12">
        <v>832</v>
      </c>
      <c r="H33" s="8">
        <v>6.39</v>
      </c>
      <c r="I33" s="12">
        <v>0</v>
      </c>
    </row>
    <row r="34" spans="2:9" ht="15" customHeight="1" x14ac:dyDescent="0.15">
      <c r="B34" t="s">
        <v>85</v>
      </c>
      <c r="C34" s="12">
        <v>1031</v>
      </c>
      <c r="D34" s="8">
        <v>4.59</v>
      </c>
      <c r="E34" s="12">
        <v>153</v>
      </c>
      <c r="F34" s="8">
        <v>1.62</v>
      </c>
      <c r="G34" s="12">
        <v>878</v>
      </c>
      <c r="H34" s="8">
        <v>6.75</v>
      </c>
      <c r="I34" s="12">
        <v>0</v>
      </c>
    </row>
    <row r="35" spans="2:9" ht="15" customHeight="1" x14ac:dyDescent="0.15">
      <c r="B35" t="s">
        <v>92</v>
      </c>
      <c r="C35" s="12">
        <v>988</v>
      </c>
      <c r="D35" s="8">
        <v>4.4000000000000004</v>
      </c>
      <c r="E35" s="12">
        <v>512</v>
      </c>
      <c r="F35" s="8">
        <v>5.43</v>
      </c>
      <c r="G35" s="12">
        <v>475</v>
      </c>
      <c r="H35" s="8">
        <v>3.65</v>
      </c>
      <c r="I35" s="12">
        <v>1</v>
      </c>
    </row>
    <row r="36" spans="2:9" ht="15" customHeight="1" x14ac:dyDescent="0.15">
      <c r="B36" t="s">
        <v>87</v>
      </c>
      <c r="C36" s="12">
        <v>948</v>
      </c>
      <c r="D36" s="8">
        <v>4.22</v>
      </c>
      <c r="E36" s="12">
        <v>61</v>
      </c>
      <c r="F36" s="8">
        <v>0.65</v>
      </c>
      <c r="G36" s="12">
        <v>887</v>
      </c>
      <c r="H36" s="8">
        <v>6.82</v>
      </c>
      <c r="I36" s="12">
        <v>0</v>
      </c>
    </row>
    <row r="37" spans="2:9" ht="15" customHeight="1" x14ac:dyDescent="0.15">
      <c r="B37" t="s">
        <v>103</v>
      </c>
      <c r="C37" s="12">
        <v>871</v>
      </c>
      <c r="D37" s="8">
        <v>3.88</v>
      </c>
      <c r="E37" s="12">
        <v>716</v>
      </c>
      <c r="F37" s="8">
        <v>7.6</v>
      </c>
      <c r="G37" s="12">
        <v>155</v>
      </c>
      <c r="H37" s="8">
        <v>1.19</v>
      </c>
      <c r="I37" s="12">
        <v>0</v>
      </c>
    </row>
    <row r="38" spans="2:9" ht="15" customHeight="1" x14ac:dyDescent="0.15">
      <c r="B38" t="s">
        <v>102</v>
      </c>
      <c r="C38" s="12">
        <v>692</v>
      </c>
      <c r="D38" s="8">
        <v>3.08</v>
      </c>
      <c r="E38" s="12">
        <v>444</v>
      </c>
      <c r="F38" s="8">
        <v>4.71</v>
      </c>
      <c r="G38" s="12">
        <v>245</v>
      </c>
      <c r="H38" s="8">
        <v>1.88</v>
      </c>
      <c r="I38" s="12">
        <v>3</v>
      </c>
    </row>
    <row r="39" spans="2:9" ht="15" customHeight="1" x14ac:dyDescent="0.15">
      <c r="B39" t="s">
        <v>97</v>
      </c>
      <c r="C39" s="12">
        <v>563</v>
      </c>
      <c r="D39" s="8">
        <v>2.5099999999999998</v>
      </c>
      <c r="E39" s="12">
        <v>304</v>
      </c>
      <c r="F39" s="8">
        <v>3.23</v>
      </c>
      <c r="G39" s="12">
        <v>258</v>
      </c>
      <c r="H39" s="8">
        <v>1.98</v>
      </c>
      <c r="I39" s="12">
        <v>1</v>
      </c>
    </row>
    <row r="40" spans="2:9" ht="15" customHeight="1" x14ac:dyDescent="0.15">
      <c r="B40" t="s">
        <v>91</v>
      </c>
      <c r="C40" s="12">
        <v>537</v>
      </c>
      <c r="D40" s="8">
        <v>2.39</v>
      </c>
      <c r="E40" s="12">
        <v>189</v>
      </c>
      <c r="F40" s="8">
        <v>2.0099999999999998</v>
      </c>
      <c r="G40" s="12">
        <v>348</v>
      </c>
      <c r="H40" s="8">
        <v>2.67</v>
      </c>
      <c r="I40" s="12">
        <v>0</v>
      </c>
    </row>
    <row r="41" spans="2:9" ht="15" customHeight="1" x14ac:dyDescent="0.15">
      <c r="B41" t="s">
        <v>95</v>
      </c>
      <c r="C41" s="12">
        <v>502</v>
      </c>
      <c r="D41" s="8">
        <v>2.2400000000000002</v>
      </c>
      <c r="E41" s="12">
        <v>47</v>
      </c>
      <c r="F41" s="8">
        <v>0.5</v>
      </c>
      <c r="G41" s="12">
        <v>455</v>
      </c>
      <c r="H41" s="8">
        <v>3.5</v>
      </c>
      <c r="I41" s="12">
        <v>0</v>
      </c>
    </row>
    <row r="42" spans="2:9" ht="15" customHeight="1" x14ac:dyDescent="0.15">
      <c r="B42" t="s">
        <v>98</v>
      </c>
      <c r="C42" s="12">
        <v>482</v>
      </c>
      <c r="D42" s="8">
        <v>2.15</v>
      </c>
      <c r="E42" s="12">
        <v>128</v>
      </c>
      <c r="F42" s="8">
        <v>1.36</v>
      </c>
      <c r="G42" s="12">
        <v>354</v>
      </c>
      <c r="H42" s="8">
        <v>2.72</v>
      </c>
      <c r="I42" s="12">
        <v>0</v>
      </c>
    </row>
    <row r="43" spans="2:9" ht="15" customHeight="1" x14ac:dyDescent="0.15">
      <c r="B43" t="s">
        <v>88</v>
      </c>
      <c r="C43" s="12">
        <v>450</v>
      </c>
      <c r="D43" s="8">
        <v>2</v>
      </c>
      <c r="E43" s="12">
        <v>100</v>
      </c>
      <c r="F43" s="8">
        <v>1.06</v>
      </c>
      <c r="G43" s="12">
        <v>350</v>
      </c>
      <c r="H43" s="8">
        <v>2.69</v>
      </c>
      <c r="I43" s="12">
        <v>0</v>
      </c>
    </row>
    <row r="44" spans="2:9" ht="15" customHeight="1" x14ac:dyDescent="0.15">
      <c r="B44" t="s">
        <v>93</v>
      </c>
      <c r="C44" s="12">
        <v>436</v>
      </c>
      <c r="D44" s="8">
        <v>1.94</v>
      </c>
      <c r="E44" s="12">
        <v>141</v>
      </c>
      <c r="F44" s="8">
        <v>1.5</v>
      </c>
      <c r="G44" s="12">
        <v>295</v>
      </c>
      <c r="H44" s="8">
        <v>2.27</v>
      </c>
      <c r="I44" s="12">
        <v>0</v>
      </c>
    </row>
    <row r="45" spans="2:9" ht="15" customHeight="1" x14ac:dyDescent="0.15">
      <c r="B45" t="s">
        <v>89</v>
      </c>
      <c r="C45" s="12">
        <v>356</v>
      </c>
      <c r="D45" s="8">
        <v>1.59</v>
      </c>
      <c r="E45" s="12">
        <v>63</v>
      </c>
      <c r="F45" s="8">
        <v>0.67</v>
      </c>
      <c r="G45" s="12">
        <v>293</v>
      </c>
      <c r="H45" s="8">
        <v>2.25</v>
      </c>
      <c r="I45" s="12">
        <v>0</v>
      </c>
    </row>
    <row r="46" spans="2:9" ht="15" customHeight="1" x14ac:dyDescent="0.15">
      <c r="B46" t="s">
        <v>108</v>
      </c>
      <c r="C46" s="12">
        <v>282</v>
      </c>
      <c r="D46" s="8">
        <v>1.26</v>
      </c>
      <c r="E46" s="12">
        <v>9</v>
      </c>
      <c r="F46" s="8">
        <v>0.1</v>
      </c>
      <c r="G46" s="12">
        <v>271</v>
      </c>
      <c r="H46" s="8">
        <v>2.08</v>
      </c>
      <c r="I46" s="12">
        <v>2</v>
      </c>
    </row>
    <row r="47" spans="2:9" ht="15" customHeight="1" x14ac:dyDescent="0.15">
      <c r="B47" t="s">
        <v>104</v>
      </c>
      <c r="C47" s="12">
        <v>282</v>
      </c>
      <c r="D47" s="8">
        <v>1.26</v>
      </c>
      <c r="E47" s="12">
        <v>17</v>
      </c>
      <c r="F47" s="8">
        <v>0.18</v>
      </c>
      <c r="G47" s="12">
        <v>263</v>
      </c>
      <c r="H47" s="8">
        <v>2.02</v>
      </c>
      <c r="I47" s="12">
        <v>2</v>
      </c>
    </row>
    <row r="48" spans="2:9" ht="15" customHeight="1" x14ac:dyDescent="0.15">
      <c r="B48" t="s">
        <v>101</v>
      </c>
      <c r="C48" s="12">
        <v>241</v>
      </c>
      <c r="D48" s="8">
        <v>1.07</v>
      </c>
      <c r="E48" s="12">
        <v>84</v>
      </c>
      <c r="F48" s="8">
        <v>0.89</v>
      </c>
      <c r="G48" s="12">
        <v>156</v>
      </c>
      <c r="H48" s="8">
        <v>1.2</v>
      </c>
      <c r="I48" s="12">
        <v>1</v>
      </c>
    </row>
    <row r="51" spans="2:9" ht="33" customHeight="1" x14ac:dyDescent="0.15">
      <c r="B51" t="s">
        <v>283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1562</v>
      </c>
      <c r="D52" s="8">
        <v>6.96</v>
      </c>
      <c r="E52" s="12">
        <v>972</v>
      </c>
      <c r="F52" s="8">
        <v>10.31</v>
      </c>
      <c r="G52" s="12">
        <v>590</v>
      </c>
      <c r="H52" s="8">
        <v>4.53</v>
      </c>
      <c r="I52" s="12">
        <v>0</v>
      </c>
    </row>
    <row r="53" spans="2:9" ht="15" customHeight="1" x14ac:dyDescent="0.15">
      <c r="B53" t="s">
        <v>151</v>
      </c>
      <c r="C53" s="12">
        <v>899</v>
      </c>
      <c r="D53" s="8">
        <v>4</v>
      </c>
      <c r="E53" s="12">
        <v>810</v>
      </c>
      <c r="F53" s="8">
        <v>8.59</v>
      </c>
      <c r="G53" s="12">
        <v>89</v>
      </c>
      <c r="H53" s="8">
        <v>0.68</v>
      </c>
      <c r="I53" s="12">
        <v>0</v>
      </c>
    </row>
    <row r="54" spans="2:9" ht="15" customHeight="1" x14ac:dyDescent="0.15">
      <c r="B54" t="s">
        <v>155</v>
      </c>
      <c r="C54" s="12">
        <v>849</v>
      </c>
      <c r="D54" s="8">
        <v>3.78</v>
      </c>
      <c r="E54" s="12">
        <v>661</v>
      </c>
      <c r="F54" s="8">
        <v>7.01</v>
      </c>
      <c r="G54" s="12">
        <v>188</v>
      </c>
      <c r="H54" s="8">
        <v>1.44</v>
      </c>
      <c r="I54" s="12">
        <v>0</v>
      </c>
    </row>
    <row r="55" spans="2:9" ht="15" customHeight="1" x14ac:dyDescent="0.15">
      <c r="B55" t="s">
        <v>150</v>
      </c>
      <c r="C55" s="12">
        <v>703</v>
      </c>
      <c r="D55" s="8">
        <v>3.13</v>
      </c>
      <c r="E55" s="12">
        <v>526</v>
      </c>
      <c r="F55" s="8">
        <v>5.58</v>
      </c>
      <c r="G55" s="12">
        <v>177</v>
      </c>
      <c r="H55" s="8">
        <v>1.36</v>
      </c>
      <c r="I55" s="12">
        <v>0</v>
      </c>
    </row>
    <row r="56" spans="2:9" ht="15" customHeight="1" x14ac:dyDescent="0.15">
      <c r="B56" t="s">
        <v>149</v>
      </c>
      <c r="C56" s="12">
        <v>575</v>
      </c>
      <c r="D56" s="8">
        <v>2.56</v>
      </c>
      <c r="E56" s="12">
        <v>29</v>
      </c>
      <c r="F56" s="8">
        <v>0.31</v>
      </c>
      <c r="G56" s="12">
        <v>545</v>
      </c>
      <c r="H56" s="8">
        <v>4.1900000000000004</v>
      </c>
      <c r="I56" s="12">
        <v>1</v>
      </c>
    </row>
    <row r="57" spans="2:9" ht="15" customHeight="1" x14ac:dyDescent="0.15">
      <c r="B57" t="s">
        <v>154</v>
      </c>
      <c r="C57" s="12">
        <v>562</v>
      </c>
      <c r="D57" s="8">
        <v>2.5</v>
      </c>
      <c r="E57" s="12">
        <v>503</v>
      </c>
      <c r="F57" s="8">
        <v>5.34</v>
      </c>
      <c r="G57" s="12">
        <v>59</v>
      </c>
      <c r="H57" s="8">
        <v>0.45</v>
      </c>
      <c r="I57" s="12">
        <v>0</v>
      </c>
    </row>
    <row r="58" spans="2:9" ht="15" customHeight="1" x14ac:dyDescent="0.15">
      <c r="B58" t="s">
        <v>157</v>
      </c>
      <c r="C58" s="12">
        <v>526</v>
      </c>
      <c r="D58" s="8">
        <v>2.34</v>
      </c>
      <c r="E58" s="12">
        <v>420</v>
      </c>
      <c r="F58" s="8">
        <v>4.46</v>
      </c>
      <c r="G58" s="12">
        <v>106</v>
      </c>
      <c r="H58" s="8">
        <v>0.81</v>
      </c>
      <c r="I58" s="12">
        <v>0</v>
      </c>
    </row>
    <row r="59" spans="2:9" ht="15" customHeight="1" x14ac:dyDescent="0.15">
      <c r="B59" t="s">
        <v>145</v>
      </c>
      <c r="C59" s="12">
        <v>495</v>
      </c>
      <c r="D59" s="8">
        <v>2.2000000000000002</v>
      </c>
      <c r="E59" s="12">
        <v>272</v>
      </c>
      <c r="F59" s="8">
        <v>2.89</v>
      </c>
      <c r="G59" s="12">
        <v>223</v>
      </c>
      <c r="H59" s="8">
        <v>1.71</v>
      </c>
      <c r="I59" s="12">
        <v>0</v>
      </c>
    </row>
    <row r="60" spans="2:9" ht="15" customHeight="1" x14ac:dyDescent="0.15">
      <c r="B60" t="s">
        <v>156</v>
      </c>
      <c r="C60" s="12">
        <v>462</v>
      </c>
      <c r="D60" s="8">
        <v>2.06</v>
      </c>
      <c r="E60" s="12">
        <v>322</v>
      </c>
      <c r="F60" s="8">
        <v>3.42</v>
      </c>
      <c r="G60" s="12">
        <v>137</v>
      </c>
      <c r="H60" s="8">
        <v>1.05</v>
      </c>
      <c r="I60" s="12">
        <v>3</v>
      </c>
    </row>
    <row r="61" spans="2:9" ht="15" customHeight="1" x14ac:dyDescent="0.15">
      <c r="B61" t="s">
        <v>153</v>
      </c>
      <c r="C61" s="12">
        <v>440</v>
      </c>
      <c r="D61" s="8">
        <v>1.96</v>
      </c>
      <c r="E61" s="12">
        <v>235</v>
      </c>
      <c r="F61" s="8">
        <v>2.4900000000000002</v>
      </c>
      <c r="G61" s="12">
        <v>205</v>
      </c>
      <c r="H61" s="8">
        <v>1.58</v>
      </c>
      <c r="I61" s="12">
        <v>0</v>
      </c>
    </row>
    <row r="62" spans="2:9" ht="15" customHeight="1" x14ac:dyDescent="0.15">
      <c r="B62" t="s">
        <v>152</v>
      </c>
      <c r="C62" s="12">
        <v>424</v>
      </c>
      <c r="D62" s="8">
        <v>1.89</v>
      </c>
      <c r="E62" s="12">
        <v>389</v>
      </c>
      <c r="F62" s="8">
        <v>4.13</v>
      </c>
      <c r="G62" s="12">
        <v>35</v>
      </c>
      <c r="H62" s="8">
        <v>0.27</v>
      </c>
      <c r="I62" s="12">
        <v>0</v>
      </c>
    </row>
    <row r="63" spans="2:9" ht="15" customHeight="1" x14ac:dyDescent="0.15">
      <c r="B63" t="s">
        <v>143</v>
      </c>
      <c r="C63" s="12">
        <v>423</v>
      </c>
      <c r="D63" s="8">
        <v>1.88</v>
      </c>
      <c r="E63" s="12">
        <v>218</v>
      </c>
      <c r="F63" s="8">
        <v>2.31</v>
      </c>
      <c r="G63" s="12">
        <v>205</v>
      </c>
      <c r="H63" s="8">
        <v>1.58</v>
      </c>
      <c r="I63" s="12">
        <v>0</v>
      </c>
    </row>
    <row r="64" spans="2:9" ht="15" customHeight="1" x14ac:dyDescent="0.15">
      <c r="B64" t="s">
        <v>146</v>
      </c>
      <c r="C64" s="12">
        <v>410</v>
      </c>
      <c r="D64" s="8">
        <v>1.83</v>
      </c>
      <c r="E64" s="12">
        <v>45</v>
      </c>
      <c r="F64" s="8">
        <v>0.48</v>
      </c>
      <c r="G64" s="12">
        <v>365</v>
      </c>
      <c r="H64" s="8">
        <v>2.81</v>
      </c>
      <c r="I64" s="12">
        <v>0</v>
      </c>
    </row>
    <row r="65" spans="2:9" ht="15" customHeight="1" x14ac:dyDescent="0.15">
      <c r="B65" t="s">
        <v>141</v>
      </c>
      <c r="C65" s="12">
        <v>373</v>
      </c>
      <c r="D65" s="8">
        <v>1.66</v>
      </c>
      <c r="E65" s="12">
        <v>22</v>
      </c>
      <c r="F65" s="8">
        <v>0.23</v>
      </c>
      <c r="G65" s="12">
        <v>351</v>
      </c>
      <c r="H65" s="8">
        <v>2.7</v>
      </c>
      <c r="I65" s="12">
        <v>0</v>
      </c>
    </row>
    <row r="66" spans="2:9" ht="15" customHeight="1" x14ac:dyDescent="0.15">
      <c r="B66" t="s">
        <v>140</v>
      </c>
      <c r="C66" s="12">
        <v>342</v>
      </c>
      <c r="D66" s="8">
        <v>1.52</v>
      </c>
      <c r="E66" s="12">
        <v>34</v>
      </c>
      <c r="F66" s="8">
        <v>0.36</v>
      </c>
      <c r="G66" s="12">
        <v>308</v>
      </c>
      <c r="H66" s="8">
        <v>2.37</v>
      </c>
      <c r="I66" s="12">
        <v>0</v>
      </c>
    </row>
    <row r="67" spans="2:9" ht="15" customHeight="1" x14ac:dyDescent="0.15">
      <c r="B67" t="s">
        <v>163</v>
      </c>
      <c r="C67" s="12">
        <v>289</v>
      </c>
      <c r="D67" s="8">
        <v>1.29</v>
      </c>
      <c r="E67" s="12">
        <v>272</v>
      </c>
      <c r="F67" s="8">
        <v>2.89</v>
      </c>
      <c r="G67" s="12">
        <v>17</v>
      </c>
      <c r="H67" s="8">
        <v>0.13</v>
      </c>
      <c r="I67" s="12">
        <v>0</v>
      </c>
    </row>
    <row r="68" spans="2:9" ht="15" customHeight="1" x14ac:dyDescent="0.15">
      <c r="B68" t="s">
        <v>139</v>
      </c>
      <c r="C68" s="12">
        <v>285</v>
      </c>
      <c r="D68" s="8">
        <v>1.27</v>
      </c>
      <c r="E68" s="12">
        <v>32</v>
      </c>
      <c r="F68" s="8">
        <v>0.34</v>
      </c>
      <c r="G68" s="12">
        <v>253</v>
      </c>
      <c r="H68" s="8">
        <v>1.94</v>
      </c>
      <c r="I68" s="12">
        <v>0</v>
      </c>
    </row>
    <row r="69" spans="2:9" ht="15" customHeight="1" x14ac:dyDescent="0.15">
      <c r="B69" t="s">
        <v>161</v>
      </c>
      <c r="C69" s="12">
        <v>265</v>
      </c>
      <c r="D69" s="8">
        <v>1.18</v>
      </c>
      <c r="E69" s="12">
        <v>66</v>
      </c>
      <c r="F69" s="8">
        <v>0.7</v>
      </c>
      <c r="G69" s="12">
        <v>199</v>
      </c>
      <c r="H69" s="8">
        <v>1.53</v>
      </c>
      <c r="I69" s="12">
        <v>0</v>
      </c>
    </row>
    <row r="70" spans="2:9" ht="15" customHeight="1" x14ac:dyDescent="0.15">
      <c r="B70" t="s">
        <v>158</v>
      </c>
      <c r="C70" s="12">
        <v>258</v>
      </c>
      <c r="D70" s="8">
        <v>1.1499999999999999</v>
      </c>
      <c r="E70" s="12">
        <v>36</v>
      </c>
      <c r="F70" s="8">
        <v>0.38</v>
      </c>
      <c r="G70" s="12">
        <v>222</v>
      </c>
      <c r="H70" s="8">
        <v>1.71</v>
      </c>
      <c r="I70" s="12">
        <v>0</v>
      </c>
    </row>
    <row r="71" spans="2:9" ht="15" customHeight="1" x14ac:dyDescent="0.15">
      <c r="B71" t="s">
        <v>159</v>
      </c>
      <c r="C71" s="12">
        <v>244</v>
      </c>
      <c r="D71" s="8">
        <v>1.0900000000000001</v>
      </c>
      <c r="E71" s="12">
        <v>47</v>
      </c>
      <c r="F71" s="8">
        <v>0.5</v>
      </c>
      <c r="G71" s="12">
        <v>197</v>
      </c>
      <c r="H71" s="8">
        <v>1.51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826</v>
      </c>
      <c r="D6" s="8">
        <v>14.87</v>
      </c>
      <c r="E6" s="12">
        <v>95</v>
      </c>
      <c r="F6" s="8">
        <v>4.07</v>
      </c>
      <c r="G6" s="12">
        <v>731</v>
      </c>
      <c r="H6" s="8">
        <v>22.77</v>
      </c>
      <c r="I6" s="12">
        <v>0</v>
      </c>
    </row>
    <row r="7" spans="2:9" ht="15" customHeight="1" x14ac:dyDescent="0.15">
      <c r="B7" t="s">
        <v>64</v>
      </c>
      <c r="C7" s="12">
        <v>541</v>
      </c>
      <c r="D7" s="8">
        <v>9.74</v>
      </c>
      <c r="E7" s="12">
        <v>69</v>
      </c>
      <c r="F7" s="8">
        <v>2.95</v>
      </c>
      <c r="G7" s="12">
        <v>472</v>
      </c>
      <c r="H7" s="8">
        <v>14.7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66</v>
      </c>
      <c r="C9" s="12">
        <v>48</v>
      </c>
      <c r="D9" s="8">
        <v>0.86</v>
      </c>
      <c r="E9" s="12">
        <v>1</v>
      </c>
      <c r="F9" s="8">
        <v>0.04</v>
      </c>
      <c r="G9" s="12">
        <v>47</v>
      </c>
      <c r="H9" s="8">
        <v>1.46</v>
      </c>
      <c r="I9" s="12">
        <v>0</v>
      </c>
    </row>
    <row r="10" spans="2:9" ht="15" customHeight="1" x14ac:dyDescent="0.15">
      <c r="B10" t="s">
        <v>67</v>
      </c>
      <c r="C10" s="12">
        <v>193</v>
      </c>
      <c r="D10" s="8">
        <v>3.48</v>
      </c>
      <c r="E10" s="12">
        <v>52</v>
      </c>
      <c r="F10" s="8">
        <v>2.23</v>
      </c>
      <c r="G10" s="12">
        <v>141</v>
      </c>
      <c r="H10" s="8">
        <v>4.3899999999999997</v>
      </c>
      <c r="I10" s="12">
        <v>0</v>
      </c>
    </row>
    <row r="11" spans="2:9" ht="15" customHeight="1" x14ac:dyDescent="0.15">
      <c r="B11" t="s">
        <v>68</v>
      </c>
      <c r="C11" s="12">
        <v>1132</v>
      </c>
      <c r="D11" s="8">
        <v>20.39</v>
      </c>
      <c r="E11" s="12">
        <v>400</v>
      </c>
      <c r="F11" s="8">
        <v>17.12</v>
      </c>
      <c r="G11" s="12">
        <v>732</v>
      </c>
      <c r="H11" s="8">
        <v>22.8</v>
      </c>
      <c r="I11" s="12">
        <v>0</v>
      </c>
    </row>
    <row r="12" spans="2:9" ht="15" customHeight="1" x14ac:dyDescent="0.15">
      <c r="B12" t="s">
        <v>69</v>
      </c>
      <c r="C12" s="12">
        <v>20</v>
      </c>
      <c r="D12" s="8">
        <v>0.36</v>
      </c>
      <c r="E12" s="12">
        <v>3</v>
      </c>
      <c r="F12" s="8">
        <v>0.13</v>
      </c>
      <c r="G12" s="12">
        <v>17</v>
      </c>
      <c r="H12" s="8">
        <v>0.53</v>
      </c>
      <c r="I12" s="12">
        <v>0</v>
      </c>
    </row>
    <row r="13" spans="2:9" ht="15" customHeight="1" x14ac:dyDescent="0.15">
      <c r="B13" t="s">
        <v>70</v>
      </c>
      <c r="C13" s="12">
        <v>675</v>
      </c>
      <c r="D13" s="8">
        <v>12.16</v>
      </c>
      <c r="E13" s="12">
        <v>341</v>
      </c>
      <c r="F13" s="8">
        <v>14.59</v>
      </c>
      <c r="G13" s="12">
        <v>333</v>
      </c>
      <c r="H13" s="8">
        <v>10.37</v>
      </c>
      <c r="I13" s="12">
        <v>1</v>
      </c>
    </row>
    <row r="14" spans="2:9" ht="15" customHeight="1" x14ac:dyDescent="0.15">
      <c r="B14" t="s">
        <v>71</v>
      </c>
      <c r="C14" s="12">
        <v>230</v>
      </c>
      <c r="D14" s="8">
        <v>4.1399999999999997</v>
      </c>
      <c r="E14" s="12">
        <v>113</v>
      </c>
      <c r="F14" s="8">
        <v>4.84</v>
      </c>
      <c r="G14" s="12">
        <v>117</v>
      </c>
      <c r="H14" s="8">
        <v>3.64</v>
      </c>
      <c r="I14" s="12">
        <v>0</v>
      </c>
    </row>
    <row r="15" spans="2:9" ht="15" customHeight="1" x14ac:dyDescent="0.15">
      <c r="B15" t="s">
        <v>72</v>
      </c>
      <c r="C15" s="12">
        <v>871</v>
      </c>
      <c r="D15" s="8">
        <v>15.69</v>
      </c>
      <c r="E15" s="12">
        <v>678</v>
      </c>
      <c r="F15" s="8">
        <v>29.01</v>
      </c>
      <c r="G15" s="12">
        <v>193</v>
      </c>
      <c r="H15" s="8">
        <v>6.01</v>
      </c>
      <c r="I15" s="12">
        <v>0</v>
      </c>
    </row>
    <row r="16" spans="2:9" ht="15" customHeight="1" x14ac:dyDescent="0.15">
      <c r="B16" t="s">
        <v>73</v>
      </c>
      <c r="C16" s="12">
        <v>514</v>
      </c>
      <c r="D16" s="8">
        <v>9.26</v>
      </c>
      <c r="E16" s="12">
        <v>374</v>
      </c>
      <c r="F16" s="8">
        <v>16</v>
      </c>
      <c r="G16" s="12">
        <v>138</v>
      </c>
      <c r="H16" s="8">
        <v>4.3</v>
      </c>
      <c r="I16" s="12">
        <v>2</v>
      </c>
    </row>
    <row r="17" spans="2:9" ht="15" customHeight="1" x14ac:dyDescent="0.15">
      <c r="B17" t="s">
        <v>74</v>
      </c>
      <c r="C17" s="12">
        <v>94</v>
      </c>
      <c r="D17" s="8">
        <v>1.69</v>
      </c>
      <c r="E17" s="12">
        <v>62</v>
      </c>
      <c r="F17" s="8">
        <v>2.65</v>
      </c>
      <c r="G17" s="12">
        <v>32</v>
      </c>
      <c r="H17" s="8">
        <v>1</v>
      </c>
      <c r="I17" s="12">
        <v>0</v>
      </c>
    </row>
    <row r="18" spans="2:9" ht="15" customHeight="1" x14ac:dyDescent="0.15">
      <c r="B18" t="s">
        <v>75</v>
      </c>
      <c r="C18" s="12">
        <v>207</v>
      </c>
      <c r="D18" s="8">
        <v>3.73</v>
      </c>
      <c r="E18" s="12">
        <v>121</v>
      </c>
      <c r="F18" s="8">
        <v>5.18</v>
      </c>
      <c r="G18" s="12">
        <v>85</v>
      </c>
      <c r="H18" s="8">
        <v>2.65</v>
      </c>
      <c r="I18" s="12">
        <v>1</v>
      </c>
    </row>
    <row r="19" spans="2:9" ht="15" customHeight="1" x14ac:dyDescent="0.15">
      <c r="B19" t="s">
        <v>76</v>
      </c>
      <c r="C19" s="12">
        <v>201</v>
      </c>
      <c r="D19" s="8">
        <v>3.62</v>
      </c>
      <c r="E19" s="12">
        <v>28</v>
      </c>
      <c r="F19" s="8">
        <v>1.2</v>
      </c>
      <c r="G19" s="12">
        <v>172</v>
      </c>
      <c r="H19" s="8">
        <v>5.36</v>
      </c>
      <c r="I19" s="12">
        <v>1</v>
      </c>
    </row>
    <row r="20" spans="2:9" ht="15" customHeight="1" x14ac:dyDescent="0.15">
      <c r="B20" s="9" t="s">
        <v>216</v>
      </c>
      <c r="C20" s="12">
        <f>SUM(LTBL_14131[総数／事業所数])</f>
        <v>5553</v>
      </c>
      <c r="E20" s="12">
        <f>SUBTOTAL(109,LTBL_14131[個人／事業所数])</f>
        <v>2337</v>
      </c>
      <c r="G20" s="12">
        <f>SUBTOTAL(109,LTBL_14131[法人／事業所数])</f>
        <v>3211</v>
      </c>
      <c r="I20" s="12">
        <f>SUBTOTAL(109,LTBL_14131[法人以外の団体／事業所数])</f>
        <v>5</v>
      </c>
    </row>
    <row r="21" spans="2:9" ht="15" customHeight="1" x14ac:dyDescent="0.15">
      <c r="E21" s="11">
        <f>LTBL_14131[[#Totals],[個人／事業所数]]/LTBL_14131[[#Totals],[総数／事業所数]]</f>
        <v>0.42085359265262018</v>
      </c>
      <c r="G21" s="11">
        <f>LTBL_14131[[#Totals],[法人／事業所数]]/LTBL_14131[[#Totals],[総数／事業所数]]</f>
        <v>0.5782459931568521</v>
      </c>
      <c r="I21" s="11">
        <f>LTBL_14131[[#Totals],[法人以外の団体／事業所数]]/LTBL_14131[[#Totals],[総数／事業所数]]</f>
        <v>9.004141905276427E-4</v>
      </c>
    </row>
    <row r="23" spans="2:9" ht="33" customHeight="1" x14ac:dyDescent="0.15">
      <c r="B23" t="s">
        <v>215</v>
      </c>
      <c r="C23" s="10" t="s">
        <v>78</v>
      </c>
      <c r="D23" s="10" t="s">
        <v>300</v>
      </c>
      <c r="E23" s="10" t="s">
        <v>80</v>
      </c>
      <c r="F23" s="10" t="s">
        <v>223</v>
      </c>
      <c r="G23" s="10" t="s">
        <v>82</v>
      </c>
      <c r="H23" s="10" t="s">
        <v>301</v>
      </c>
      <c r="I23" s="10" t="s">
        <v>84</v>
      </c>
    </row>
    <row r="24" spans="2:9" ht="15" customHeight="1" x14ac:dyDescent="0.15">
      <c r="B24" t="s">
        <v>218</v>
      </c>
      <c r="C24">
        <v>1</v>
      </c>
      <c r="D24" t="s">
        <v>217</v>
      </c>
      <c r="E24">
        <v>0</v>
      </c>
      <c r="F24" t="s">
        <v>219</v>
      </c>
      <c r="G24">
        <v>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302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785</v>
      </c>
      <c r="D29" s="8">
        <v>14.14</v>
      </c>
      <c r="E29" s="12">
        <v>662</v>
      </c>
      <c r="F29" s="8">
        <v>28.33</v>
      </c>
      <c r="G29" s="12">
        <v>123</v>
      </c>
      <c r="H29" s="8">
        <v>3.83</v>
      </c>
      <c r="I29" s="12">
        <v>0</v>
      </c>
    </row>
    <row r="30" spans="2:9" ht="15" customHeight="1" x14ac:dyDescent="0.15">
      <c r="B30" t="s">
        <v>96</v>
      </c>
      <c r="C30" s="12">
        <v>557</v>
      </c>
      <c r="D30" s="8">
        <v>10.029999999999999</v>
      </c>
      <c r="E30" s="12">
        <v>330</v>
      </c>
      <c r="F30" s="8">
        <v>14.12</v>
      </c>
      <c r="G30" s="12">
        <v>226</v>
      </c>
      <c r="H30" s="8">
        <v>7.04</v>
      </c>
      <c r="I30" s="12">
        <v>1</v>
      </c>
    </row>
    <row r="31" spans="2:9" ht="15" customHeight="1" x14ac:dyDescent="0.15">
      <c r="B31" t="s">
        <v>100</v>
      </c>
      <c r="C31" s="12">
        <v>432</v>
      </c>
      <c r="D31" s="8">
        <v>7.78</v>
      </c>
      <c r="E31" s="12">
        <v>345</v>
      </c>
      <c r="F31" s="8">
        <v>14.76</v>
      </c>
      <c r="G31" s="12">
        <v>87</v>
      </c>
      <c r="H31" s="8">
        <v>2.71</v>
      </c>
      <c r="I31" s="12">
        <v>0</v>
      </c>
    </row>
    <row r="32" spans="2:9" ht="15" customHeight="1" x14ac:dyDescent="0.15">
      <c r="B32" t="s">
        <v>87</v>
      </c>
      <c r="C32" s="12">
        <v>323</v>
      </c>
      <c r="D32" s="8">
        <v>5.82</v>
      </c>
      <c r="E32" s="12">
        <v>12</v>
      </c>
      <c r="F32" s="8">
        <v>0.51</v>
      </c>
      <c r="G32" s="12">
        <v>311</v>
      </c>
      <c r="H32" s="8">
        <v>9.69</v>
      </c>
      <c r="I32" s="12">
        <v>0</v>
      </c>
    </row>
    <row r="33" spans="2:9" ht="15" customHeight="1" x14ac:dyDescent="0.15">
      <c r="B33" t="s">
        <v>94</v>
      </c>
      <c r="C33" s="12">
        <v>319</v>
      </c>
      <c r="D33" s="8">
        <v>5.74</v>
      </c>
      <c r="E33" s="12">
        <v>148</v>
      </c>
      <c r="F33" s="8">
        <v>6.33</v>
      </c>
      <c r="G33" s="12">
        <v>171</v>
      </c>
      <c r="H33" s="8">
        <v>5.33</v>
      </c>
      <c r="I33" s="12">
        <v>0</v>
      </c>
    </row>
    <row r="34" spans="2:9" ht="15" customHeight="1" x14ac:dyDescent="0.15">
      <c r="B34" t="s">
        <v>92</v>
      </c>
      <c r="C34" s="12">
        <v>291</v>
      </c>
      <c r="D34" s="8">
        <v>5.24</v>
      </c>
      <c r="E34" s="12">
        <v>140</v>
      </c>
      <c r="F34" s="8">
        <v>5.99</v>
      </c>
      <c r="G34" s="12">
        <v>151</v>
      </c>
      <c r="H34" s="8">
        <v>4.7</v>
      </c>
      <c r="I34" s="12">
        <v>0</v>
      </c>
    </row>
    <row r="35" spans="2:9" ht="15" customHeight="1" x14ac:dyDescent="0.15">
      <c r="B35" t="s">
        <v>86</v>
      </c>
      <c r="C35" s="12">
        <v>273</v>
      </c>
      <c r="D35" s="8">
        <v>4.92</v>
      </c>
      <c r="E35" s="12">
        <v>50</v>
      </c>
      <c r="F35" s="8">
        <v>2.14</v>
      </c>
      <c r="G35" s="12">
        <v>223</v>
      </c>
      <c r="H35" s="8">
        <v>6.94</v>
      </c>
      <c r="I35" s="12">
        <v>0</v>
      </c>
    </row>
    <row r="36" spans="2:9" ht="15" customHeight="1" x14ac:dyDescent="0.15">
      <c r="B36" t="s">
        <v>85</v>
      </c>
      <c r="C36" s="12">
        <v>230</v>
      </c>
      <c r="D36" s="8">
        <v>4.1399999999999997</v>
      </c>
      <c r="E36" s="12">
        <v>33</v>
      </c>
      <c r="F36" s="8">
        <v>1.41</v>
      </c>
      <c r="G36" s="12">
        <v>197</v>
      </c>
      <c r="H36" s="8">
        <v>6.14</v>
      </c>
      <c r="I36" s="12">
        <v>0</v>
      </c>
    </row>
    <row r="37" spans="2:9" ht="15" customHeight="1" x14ac:dyDescent="0.15">
      <c r="B37" t="s">
        <v>91</v>
      </c>
      <c r="C37" s="12">
        <v>145</v>
      </c>
      <c r="D37" s="8">
        <v>2.61</v>
      </c>
      <c r="E37" s="12">
        <v>43</v>
      </c>
      <c r="F37" s="8">
        <v>1.84</v>
      </c>
      <c r="G37" s="12">
        <v>102</v>
      </c>
      <c r="H37" s="8">
        <v>3.18</v>
      </c>
      <c r="I37" s="12">
        <v>0</v>
      </c>
    </row>
    <row r="38" spans="2:9" ht="15" customHeight="1" x14ac:dyDescent="0.15">
      <c r="B38" t="s">
        <v>103</v>
      </c>
      <c r="C38" s="12">
        <v>141</v>
      </c>
      <c r="D38" s="8">
        <v>2.54</v>
      </c>
      <c r="E38" s="12">
        <v>120</v>
      </c>
      <c r="F38" s="8">
        <v>5.13</v>
      </c>
      <c r="G38" s="12">
        <v>21</v>
      </c>
      <c r="H38" s="8">
        <v>0.65</v>
      </c>
      <c r="I38" s="12">
        <v>0</v>
      </c>
    </row>
    <row r="39" spans="2:9" ht="15" customHeight="1" x14ac:dyDescent="0.15">
      <c r="B39" t="s">
        <v>88</v>
      </c>
      <c r="C39" s="12">
        <v>138</v>
      </c>
      <c r="D39" s="8">
        <v>2.4900000000000002</v>
      </c>
      <c r="E39" s="12">
        <v>21</v>
      </c>
      <c r="F39" s="8">
        <v>0.9</v>
      </c>
      <c r="G39" s="12">
        <v>117</v>
      </c>
      <c r="H39" s="8">
        <v>3.64</v>
      </c>
      <c r="I39" s="12">
        <v>0</v>
      </c>
    </row>
    <row r="40" spans="2:9" ht="15" customHeight="1" x14ac:dyDescent="0.15">
      <c r="B40" t="s">
        <v>97</v>
      </c>
      <c r="C40" s="12">
        <v>125</v>
      </c>
      <c r="D40" s="8">
        <v>2.25</v>
      </c>
      <c r="E40" s="12">
        <v>95</v>
      </c>
      <c r="F40" s="8">
        <v>4.07</v>
      </c>
      <c r="G40" s="12">
        <v>30</v>
      </c>
      <c r="H40" s="8">
        <v>0.93</v>
      </c>
      <c r="I40" s="12">
        <v>0</v>
      </c>
    </row>
    <row r="41" spans="2:9" ht="15" customHeight="1" x14ac:dyDescent="0.15">
      <c r="B41" t="s">
        <v>95</v>
      </c>
      <c r="C41" s="12">
        <v>95</v>
      </c>
      <c r="D41" s="8">
        <v>1.71</v>
      </c>
      <c r="E41" s="12">
        <v>11</v>
      </c>
      <c r="F41" s="8">
        <v>0.47</v>
      </c>
      <c r="G41" s="12">
        <v>84</v>
      </c>
      <c r="H41" s="8">
        <v>2.62</v>
      </c>
      <c r="I41" s="12">
        <v>0</v>
      </c>
    </row>
    <row r="42" spans="2:9" ht="15" customHeight="1" x14ac:dyDescent="0.15">
      <c r="B42" t="s">
        <v>98</v>
      </c>
      <c r="C42" s="12">
        <v>94</v>
      </c>
      <c r="D42" s="8">
        <v>1.69</v>
      </c>
      <c r="E42" s="12">
        <v>18</v>
      </c>
      <c r="F42" s="8">
        <v>0.77</v>
      </c>
      <c r="G42" s="12">
        <v>76</v>
      </c>
      <c r="H42" s="8">
        <v>2.37</v>
      </c>
      <c r="I42" s="12">
        <v>0</v>
      </c>
    </row>
    <row r="43" spans="2:9" ht="15" customHeight="1" x14ac:dyDescent="0.15">
      <c r="B43" t="s">
        <v>102</v>
      </c>
      <c r="C43" s="12">
        <v>94</v>
      </c>
      <c r="D43" s="8">
        <v>1.69</v>
      </c>
      <c r="E43" s="12">
        <v>62</v>
      </c>
      <c r="F43" s="8">
        <v>2.65</v>
      </c>
      <c r="G43" s="12">
        <v>32</v>
      </c>
      <c r="H43" s="8">
        <v>1</v>
      </c>
      <c r="I43" s="12">
        <v>0</v>
      </c>
    </row>
    <row r="44" spans="2:9" ht="15" customHeight="1" x14ac:dyDescent="0.15">
      <c r="B44" t="s">
        <v>104</v>
      </c>
      <c r="C44" s="12">
        <v>94</v>
      </c>
      <c r="D44" s="8">
        <v>1.69</v>
      </c>
      <c r="E44" s="12">
        <v>7</v>
      </c>
      <c r="F44" s="8">
        <v>0.3</v>
      </c>
      <c r="G44" s="12">
        <v>86</v>
      </c>
      <c r="H44" s="8">
        <v>2.68</v>
      </c>
      <c r="I44" s="12">
        <v>1</v>
      </c>
    </row>
    <row r="45" spans="2:9" ht="15" customHeight="1" x14ac:dyDescent="0.15">
      <c r="B45" t="s">
        <v>106</v>
      </c>
      <c r="C45" s="12">
        <v>85</v>
      </c>
      <c r="D45" s="8">
        <v>1.53</v>
      </c>
      <c r="E45" s="12">
        <v>14</v>
      </c>
      <c r="F45" s="8">
        <v>0.6</v>
      </c>
      <c r="G45" s="12">
        <v>71</v>
      </c>
      <c r="H45" s="8">
        <v>2.21</v>
      </c>
      <c r="I45" s="12">
        <v>0</v>
      </c>
    </row>
    <row r="46" spans="2:9" ht="15" customHeight="1" x14ac:dyDescent="0.15">
      <c r="B46" t="s">
        <v>93</v>
      </c>
      <c r="C46" s="12">
        <v>85</v>
      </c>
      <c r="D46" s="8">
        <v>1.53</v>
      </c>
      <c r="E46" s="12">
        <v>28</v>
      </c>
      <c r="F46" s="8">
        <v>1.2</v>
      </c>
      <c r="G46" s="12">
        <v>57</v>
      </c>
      <c r="H46" s="8">
        <v>1.78</v>
      </c>
      <c r="I46" s="12">
        <v>0</v>
      </c>
    </row>
    <row r="47" spans="2:9" ht="15" customHeight="1" x14ac:dyDescent="0.15">
      <c r="B47" t="s">
        <v>89</v>
      </c>
      <c r="C47" s="12">
        <v>76</v>
      </c>
      <c r="D47" s="8">
        <v>1.37</v>
      </c>
      <c r="E47" s="12">
        <v>10</v>
      </c>
      <c r="F47" s="8">
        <v>0.43</v>
      </c>
      <c r="G47" s="12">
        <v>66</v>
      </c>
      <c r="H47" s="8">
        <v>2.06</v>
      </c>
      <c r="I47" s="12">
        <v>0</v>
      </c>
    </row>
    <row r="48" spans="2:9" ht="15" customHeight="1" x14ac:dyDescent="0.15">
      <c r="B48" t="s">
        <v>108</v>
      </c>
      <c r="C48" s="12">
        <v>66</v>
      </c>
      <c r="D48" s="8">
        <v>1.19</v>
      </c>
      <c r="E48" s="12">
        <v>1</v>
      </c>
      <c r="F48" s="8">
        <v>0.04</v>
      </c>
      <c r="G48" s="12">
        <v>64</v>
      </c>
      <c r="H48" s="8">
        <v>1.99</v>
      </c>
      <c r="I48" s="12">
        <v>1</v>
      </c>
    </row>
    <row r="51" spans="2:9" ht="33" customHeight="1" x14ac:dyDescent="0.15">
      <c r="B51" t="s">
        <v>303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342</v>
      </c>
      <c r="D52" s="8">
        <v>6.16</v>
      </c>
      <c r="E52" s="12">
        <v>245</v>
      </c>
      <c r="F52" s="8">
        <v>10.48</v>
      </c>
      <c r="G52" s="12">
        <v>97</v>
      </c>
      <c r="H52" s="8">
        <v>3.02</v>
      </c>
      <c r="I52" s="12">
        <v>0</v>
      </c>
    </row>
    <row r="53" spans="2:9" ht="15" customHeight="1" x14ac:dyDescent="0.15">
      <c r="B53" t="s">
        <v>151</v>
      </c>
      <c r="C53" s="12">
        <v>297</v>
      </c>
      <c r="D53" s="8">
        <v>5.35</v>
      </c>
      <c r="E53" s="12">
        <v>276</v>
      </c>
      <c r="F53" s="8">
        <v>11.81</v>
      </c>
      <c r="G53" s="12">
        <v>21</v>
      </c>
      <c r="H53" s="8">
        <v>0.65</v>
      </c>
      <c r="I53" s="12">
        <v>0</v>
      </c>
    </row>
    <row r="54" spans="2:9" ht="15" customHeight="1" x14ac:dyDescent="0.15">
      <c r="B54" t="s">
        <v>150</v>
      </c>
      <c r="C54" s="12">
        <v>188</v>
      </c>
      <c r="D54" s="8">
        <v>3.39</v>
      </c>
      <c r="E54" s="12">
        <v>148</v>
      </c>
      <c r="F54" s="8">
        <v>6.33</v>
      </c>
      <c r="G54" s="12">
        <v>40</v>
      </c>
      <c r="H54" s="8">
        <v>1.25</v>
      </c>
      <c r="I54" s="12">
        <v>0</v>
      </c>
    </row>
    <row r="55" spans="2:9" ht="15" customHeight="1" x14ac:dyDescent="0.15">
      <c r="B55" t="s">
        <v>155</v>
      </c>
      <c r="C55" s="12">
        <v>176</v>
      </c>
      <c r="D55" s="8">
        <v>3.17</v>
      </c>
      <c r="E55" s="12">
        <v>154</v>
      </c>
      <c r="F55" s="8">
        <v>6.59</v>
      </c>
      <c r="G55" s="12">
        <v>22</v>
      </c>
      <c r="H55" s="8">
        <v>0.69</v>
      </c>
      <c r="I55" s="12">
        <v>0</v>
      </c>
    </row>
    <row r="56" spans="2:9" ht="15" customHeight="1" x14ac:dyDescent="0.15">
      <c r="B56" t="s">
        <v>154</v>
      </c>
      <c r="C56" s="12">
        <v>141</v>
      </c>
      <c r="D56" s="8">
        <v>2.54</v>
      </c>
      <c r="E56" s="12">
        <v>132</v>
      </c>
      <c r="F56" s="8">
        <v>5.65</v>
      </c>
      <c r="G56" s="12">
        <v>9</v>
      </c>
      <c r="H56" s="8">
        <v>0.28000000000000003</v>
      </c>
      <c r="I56" s="12">
        <v>0</v>
      </c>
    </row>
    <row r="57" spans="2:9" ht="15" customHeight="1" x14ac:dyDescent="0.15">
      <c r="B57" t="s">
        <v>145</v>
      </c>
      <c r="C57" s="12">
        <v>139</v>
      </c>
      <c r="D57" s="8">
        <v>2.5</v>
      </c>
      <c r="E57" s="12">
        <v>82</v>
      </c>
      <c r="F57" s="8">
        <v>3.51</v>
      </c>
      <c r="G57" s="12">
        <v>57</v>
      </c>
      <c r="H57" s="8">
        <v>1.78</v>
      </c>
      <c r="I57" s="12">
        <v>0</v>
      </c>
    </row>
    <row r="58" spans="2:9" ht="15" customHeight="1" x14ac:dyDescent="0.15">
      <c r="B58" t="s">
        <v>143</v>
      </c>
      <c r="C58" s="12">
        <v>125</v>
      </c>
      <c r="D58" s="8">
        <v>2.25</v>
      </c>
      <c r="E58" s="12">
        <v>64</v>
      </c>
      <c r="F58" s="8">
        <v>2.74</v>
      </c>
      <c r="G58" s="12">
        <v>61</v>
      </c>
      <c r="H58" s="8">
        <v>1.9</v>
      </c>
      <c r="I58" s="12">
        <v>0</v>
      </c>
    </row>
    <row r="59" spans="2:9" ht="15" customHeight="1" x14ac:dyDescent="0.15">
      <c r="B59" t="s">
        <v>141</v>
      </c>
      <c r="C59" s="12">
        <v>124</v>
      </c>
      <c r="D59" s="8">
        <v>2.23</v>
      </c>
      <c r="E59" s="12">
        <v>5</v>
      </c>
      <c r="F59" s="8">
        <v>0.21</v>
      </c>
      <c r="G59" s="12">
        <v>119</v>
      </c>
      <c r="H59" s="8">
        <v>3.71</v>
      </c>
      <c r="I59" s="12">
        <v>0</v>
      </c>
    </row>
    <row r="60" spans="2:9" ht="15" customHeight="1" x14ac:dyDescent="0.15">
      <c r="B60" t="s">
        <v>152</v>
      </c>
      <c r="C60" s="12">
        <v>107</v>
      </c>
      <c r="D60" s="8">
        <v>1.93</v>
      </c>
      <c r="E60" s="12">
        <v>102</v>
      </c>
      <c r="F60" s="8">
        <v>4.3600000000000003</v>
      </c>
      <c r="G60" s="12">
        <v>5</v>
      </c>
      <c r="H60" s="8">
        <v>0.16</v>
      </c>
      <c r="I60" s="12">
        <v>0</v>
      </c>
    </row>
    <row r="61" spans="2:9" ht="15" customHeight="1" x14ac:dyDescent="0.15">
      <c r="B61" t="s">
        <v>140</v>
      </c>
      <c r="C61" s="12">
        <v>100</v>
      </c>
      <c r="D61" s="8">
        <v>1.8</v>
      </c>
      <c r="E61" s="12">
        <v>7</v>
      </c>
      <c r="F61" s="8">
        <v>0.3</v>
      </c>
      <c r="G61" s="12">
        <v>93</v>
      </c>
      <c r="H61" s="8">
        <v>2.9</v>
      </c>
      <c r="I61" s="12">
        <v>0</v>
      </c>
    </row>
    <row r="62" spans="2:9" ht="15" customHeight="1" x14ac:dyDescent="0.15">
      <c r="B62" t="s">
        <v>173</v>
      </c>
      <c r="C62" s="12">
        <v>81</v>
      </c>
      <c r="D62" s="8">
        <v>1.46</v>
      </c>
      <c r="E62" s="12">
        <v>65</v>
      </c>
      <c r="F62" s="8">
        <v>2.78</v>
      </c>
      <c r="G62" s="12">
        <v>16</v>
      </c>
      <c r="H62" s="8">
        <v>0.5</v>
      </c>
      <c r="I62" s="12">
        <v>0</v>
      </c>
    </row>
    <row r="63" spans="2:9" ht="15" customHeight="1" x14ac:dyDescent="0.15">
      <c r="B63" t="s">
        <v>157</v>
      </c>
      <c r="C63" s="12">
        <v>81</v>
      </c>
      <c r="D63" s="8">
        <v>1.46</v>
      </c>
      <c r="E63" s="12">
        <v>67</v>
      </c>
      <c r="F63" s="8">
        <v>2.87</v>
      </c>
      <c r="G63" s="12">
        <v>14</v>
      </c>
      <c r="H63" s="8">
        <v>0.44</v>
      </c>
      <c r="I63" s="12">
        <v>0</v>
      </c>
    </row>
    <row r="64" spans="2:9" ht="15" customHeight="1" x14ac:dyDescent="0.15">
      <c r="B64" t="s">
        <v>139</v>
      </c>
      <c r="C64" s="12">
        <v>76</v>
      </c>
      <c r="D64" s="8">
        <v>1.37</v>
      </c>
      <c r="E64" s="12">
        <v>5</v>
      </c>
      <c r="F64" s="8">
        <v>0.21</v>
      </c>
      <c r="G64" s="12">
        <v>71</v>
      </c>
      <c r="H64" s="8">
        <v>2.21</v>
      </c>
      <c r="I64" s="12">
        <v>0</v>
      </c>
    </row>
    <row r="65" spans="2:9" ht="15" customHeight="1" x14ac:dyDescent="0.15">
      <c r="B65" t="s">
        <v>146</v>
      </c>
      <c r="C65" s="12">
        <v>76</v>
      </c>
      <c r="D65" s="8">
        <v>1.37</v>
      </c>
      <c r="E65" s="12">
        <v>10</v>
      </c>
      <c r="F65" s="8">
        <v>0.43</v>
      </c>
      <c r="G65" s="12">
        <v>66</v>
      </c>
      <c r="H65" s="8">
        <v>2.06</v>
      </c>
      <c r="I65" s="12">
        <v>0</v>
      </c>
    </row>
    <row r="66" spans="2:9" ht="15" customHeight="1" x14ac:dyDescent="0.15">
      <c r="B66" t="s">
        <v>166</v>
      </c>
      <c r="C66" s="12">
        <v>74</v>
      </c>
      <c r="D66" s="8">
        <v>1.33</v>
      </c>
      <c r="E66" s="12">
        <v>35</v>
      </c>
      <c r="F66" s="8">
        <v>1.5</v>
      </c>
      <c r="G66" s="12">
        <v>39</v>
      </c>
      <c r="H66" s="8">
        <v>1.21</v>
      </c>
      <c r="I66" s="12">
        <v>0</v>
      </c>
    </row>
    <row r="67" spans="2:9" ht="15" customHeight="1" x14ac:dyDescent="0.15">
      <c r="B67" t="s">
        <v>149</v>
      </c>
      <c r="C67" s="12">
        <v>68</v>
      </c>
      <c r="D67" s="8">
        <v>1.22</v>
      </c>
      <c r="E67" s="12">
        <v>7</v>
      </c>
      <c r="F67" s="8">
        <v>0.3</v>
      </c>
      <c r="G67" s="12">
        <v>60</v>
      </c>
      <c r="H67" s="8">
        <v>1.87</v>
      </c>
      <c r="I67" s="12">
        <v>1</v>
      </c>
    </row>
    <row r="68" spans="2:9" ht="15" customHeight="1" x14ac:dyDescent="0.15">
      <c r="B68" t="s">
        <v>147</v>
      </c>
      <c r="C68" s="12">
        <v>66</v>
      </c>
      <c r="D68" s="8">
        <v>1.19</v>
      </c>
      <c r="E68" s="12">
        <v>13</v>
      </c>
      <c r="F68" s="8">
        <v>0.56000000000000005</v>
      </c>
      <c r="G68" s="12">
        <v>53</v>
      </c>
      <c r="H68" s="8">
        <v>1.65</v>
      </c>
      <c r="I68" s="12">
        <v>0</v>
      </c>
    </row>
    <row r="69" spans="2:9" ht="15" customHeight="1" x14ac:dyDescent="0.15">
      <c r="B69" t="s">
        <v>183</v>
      </c>
      <c r="C69" s="12">
        <v>64</v>
      </c>
      <c r="D69" s="8">
        <v>1.1499999999999999</v>
      </c>
      <c r="E69" s="12">
        <v>38</v>
      </c>
      <c r="F69" s="8">
        <v>1.63</v>
      </c>
      <c r="G69" s="12">
        <v>26</v>
      </c>
      <c r="H69" s="8">
        <v>0.81</v>
      </c>
      <c r="I69" s="12">
        <v>0</v>
      </c>
    </row>
    <row r="70" spans="2:9" ht="15" customHeight="1" x14ac:dyDescent="0.15">
      <c r="B70" t="s">
        <v>153</v>
      </c>
      <c r="C70" s="12">
        <v>64</v>
      </c>
      <c r="D70" s="8">
        <v>1.1499999999999999</v>
      </c>
      <c r="E70" s="12">
        <v>31</v>
      </c>
      <c r="F70" s="8">
        <v>1.33</v>
      </c>
      <c r="G70" s="12">
        <v>33</v>
      </c>
      <c r="H70" s="8">
        <v>1.03</v>
      </c>
      <c r="I70" s="12">
        <v>0</v>
      </c>
    </row>
    <row r="71" spans="2:9" ht="15" customHeight="1" x14ac:dyDescent="0.15">
      <c r="B71" t="s">
        <v>156</v>
      </c>
      <c r="C71" s="12">
        <v>64</v>
      </c>
      <c r="D71" s="8">
        <v>1.1499999999999999</v>
      </c>
      <c r="E71" s="12">
        <v>44</v>
      </c>
      <c r="F71" s="8">
        <v>1.88</v>
      </c>
      <c r="G71" s="12">
        <v>20</v>
      </c>
      <c r="H71" s="8">
        <v>0.62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379</v>
      </c>
      <c r="D6" s="8">
        <v>14.29</v>
      </c>
      <c r="E6" s="12">
        <v>64</v>
      </c>
      <c r="F6" s="8">
        <v>5.1100000000000003</v>
      </c>
      <c r="G6" s="12">
        <v>315</v>
      </c>
      <c r="H6" s="8">
        <v>22.53</v>
      </c>
      <c r="I6" s="12">
        <v>0</v>
      </c>
    </row>
    <row r="7" spans="2:9" ht="15" customHeight="1" x14ac:dyDescent="0.15">
      <c r="B7" t="s">
        <v>64</v>
      </c>
      <c r="C7" s="12">
        <v>273</v>
      </c>
      <c r="D7" s="8">
        <v>10.29</v>
      </c>
      <c r="E7" s="12">
        <v>46</v>
      </c>
      <c r="F7" s="8">
        <v>3.67</v>
      </c>
      <c r="G7" s="12">
        <v>227</v>
      </c>
      <c r="H7" s="8">
        <v>16.239999999999998</v>
      </c>
      <c r="I7" s="12">
        <v>0</v>
      </c>
    </row>
    <row r="8" spans="2:9" ht="15" customHeight="1" x14ac:dyDescent="0.15">
      <c r="B8" t="s">
        <v>65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15">
      <c r="B9" t="s">
        <v>66</v>
      </c>
      <c r="C9" s="12">
        <v>18</v>
      </c>
      <c r="D9" s="8">
        <v>0.68</v>
      </c>
      <c r="E9" s="12">
        <v>0</v>
      </c>
      <c r="F9" s="8">
        <v>0</v>
      </c>
      <c r="G9" s="12">
        <v>18</v>
      </c>
      <c r="H9" s="8">
        <v>1.29</v>
      </c>
      <c r="I9" s="12">
        <v>0</v>
      </c>
    </row>
    <row r="10" spans="2:9" ht="15" customHeight="1" x14ac:dyDescent="0.15">
      <c r="B10" t="s">
        <v>67</v>
      </c>
      <c r="C10" s="12">
        <v>79</v>
      </c>
      <c r="D10" s="8">
        <v>2.98</v>
      </c>
      <c r="E10" s="12">
        <v>60</v>
      </c>
      <c r="F10" s="8">
        <v>4.79</v>
      </c>
      <c r="G10" s="12">
        <v>19</v>
      </c>
      <c r="H10" s="8">
        <v>1.36</v>
      </c>
      <c r="I10" s="12">
        <v>0</v>
      </c>
    </row>
    <row r="11" spans="2:9" ht="15" customHeight="1" x14ac:dyDescent="0.15">
      <c r="B11" t="s">
        <v>68</v>
      </c>
      <c r="C11" s="12">
        <v>532</v>
      </c>
      <c r="D11" s="8">
        <v>20.059999999999999</v>
      </c>
      <c r="E11" s="12">
        <v>218</v>
      </c>
      <c r="F11" s="8">
        <v>17.399999999999999</v>
      </c>
      <c r="G11" s="12">
        <v>313</v>
      </c>
      <c r="H11" s="8">
        <v>22.39</v>
      </c>
      <c r="I11" s="12">
        <v>1</v>
      </c>
    </row>
    <row r="12" spans="2:9" ht="15" customHeight="1" x14ac:dyDescent="0.15">
      <c r="B12" t="s">
        <v>69</v>
      </c>
      <c r="C12" s="12">
        <v>6</v>
      </c>
      <c r="D12" s="8">
        <v>0.23</v>
      </c>
      <c r="E12" s="12">
        <v>0</v>
      </c>
      <c r="F12" s="8">
        <v>0</v>
      </c>
      <c r="G12" s="12">
        <v>6</v>
      </c>
      <c r="H12" s="8">
        <v>0.43</v>
      </c>
      <c r="I12" s="12">
        <v>0</v>
      </c>
    </row>
    <row r="13" spans="2:9" ht="15" customHeight="1" x14ac:dyDescent="0.15">
      <c r="B13" t="s">
        <v>70</v>
      </c>
      <c r="C13" s="12">
        <v>341</v>
      </c>
      <c r="D13" s="8">
        <v>12.86</v>
      </c>
      <c r="E13" s="12">
        <v>149</v>
      </c>
      <c r="F13" s="8">
        <v>11.89</v>
      </c>
      <c r="G13" s="12">
        <v>192</v>
      </c>
      <c r="H13" s="8">
        <v>13.73</v>
      </c>
      <c r="I13" s="12">
        <v>0</v>
      </c>
    </row>
    <row r="14" spans="2:9" ht="15" customHeight="1" x14ac:dyDescent="0.15">
      <c r="B14" t="s">
        <v>71</v>
      </c>
      <c r="C14" s="12">
        <v>94</v>
      </c>
      <c r="D14" s="8">
        <v>3.54</v>
      </c>
      <c r="E14" s="12">
        <v>40</v>
      </c>
      <c r="F14" s="8">
        <v>3.19</v>
      </c>
      <c r="G14" s="12">
        <v>54</v>
      </c>
      <c r="H14" s="8">
        <v>3.86</v>
      </c>
      <c r="I14" s="12">
        <v>0</v>
      </c>
    </row>
    <row r="15" spans="2:9" ht="15" customHeight="1" x14ac:dyDescent="0.15">
      <c r="B15" t="s">
        <v>72</v>
      </c>
      <c r="C15" s="12">
        <v>363</v>
      </c>
      <c r="D15" s="8">
        <v>13.69</v>
      </c>
      <c r="E15" s="12">
        <v>290</v>
      </c>
      <c r="F15" s="8">
        <v>23.14</v>
      </c>
      <c r="G15" s="12">
        <v>73</v>
      </c>
      <c r="H15" s="8">
        <v>5.22</v>
      </c>
      <c r="I15" s="12">
        <v>0</v>
      </c>
    </row>
    <row r="16" spans="2:9" ht="15" customHeight="1" x14ac:dyDescent="0.15">
      <c r="B16" t="s">
        <v>73</v>
      </c>
      <c r="C16" s="12">
        <v>325</v>
      </c>
      <c r="D16" s="8">
        <v>12.25</v>
      </c>
      <c r="E16" s="12">
        <v>253</v>
      </c>
      <c r="F16" s="8">
        <v>20.190000000000001</v>
      </c>
      <c r="G16" s="12">
        <v>72</v>
      </c>
      <c r="H16" s="8">
        <v>5.15</v>
      </c>
      <c r="I16" s="12">
        <v>0</v>
      </c>
    </row>
    <row r="17" spans="2:9" ht="15" customHeight="1" x14ac:dyDescent="0.15">
      <c r="B17" t="s">
        <v>74</v>
      </c>
      <c r="C17" s="12">
        <v>69</v>
      </c>
      <c r="D17" s="8">
        <v>2.6</v>
      </c>
      <c r="E17" s="12">
        <v>45</v>
      </c>
      <c r="F17" s="8">
        <v>3.59</v>
      </c>
      <c r="G17" s="12">
        <v>24</v>
      </c>
      <c r="H17" s="8">
        <v>1.72</v>
      </c>
      <c r="I17" s="12">
        <v>0</v>
      </c>
    </row>
    <row r="18" spans="2:9" ht="15" customHeight="1" x14ac:dyDescent="0.15">
      <c r="B18" t="s">
        <v>75</v>
      </c>
      <c r="C18" s="12">
        <v>109</v>
      </c>
      <c r="D18" s="8">
        <v>4.1100000000000003</v>
      </c>
      <c r="E18" s="12">
        <v>76</v>
      </c>
      <c r="F18" s="8">
        <v>6.07</v>
      </c>
      <c r="G18" s="12">
        <v>33</v>
      </c>
      <c r="H18" s="8">
        <v>2.36</v>
      </c>
      <c r="I18" s="12">
        <v>0</v>
      </c>
    </row>
    <row r="19" spans="2:9" ht="15" customHeight="1" x14ac:dyDescent="0.15">
      <c r="B19" t="s">
        <v>76</v>
      </c>
      <c r="C19" s="12">
        <v>62</v>
      </c>
      <c r="D19" s="8">
        <v>2.34</v>
      </c>
      <c r="E19" s="12">
        <v>12</v>
      </c>
      <c r="F19" s="8">
        <v>0.96</v>
      </c>
      <c r="G19" s="12">
        <v>50</v>
      </c>
      <c r="H19" s="8">
        <v>3.58</v>
      </c>
      <c r="I19" s="12">
        <v>0</v>
      </c>
    </row>
    <row r="20" spans="2:9" ht="15" customHeight="1" x14ac:dyDescent="0.15">
      <c r="B20" s="9" t="s">
        <v>216</v>
      </c>
      <c r="C20" s="12">
        <f>SUM(LTBL_14132[総数／事業所数])</f>
        <v>2652</v>
      </c>
      <c r="E20" s="12">
        <f>SUBTOTAL(109,LTBL_14132[個人／事業所数])</f>
        <v>1253</v>
      </c>
      <c r="G20" s="12">
        <f>SUBTOTAL(109,LTBL_14132[法人／事業所数])</f>
        <v>1398</v>
      </c>
      <c r="I20" s="12">
        <f>SUBTOTAL(109,LTBL_14132[法人以外の団体／事業所数])</f>
        <v>1</v>
      </c>
    </row>
    <row r="21" spans="2:9" ht="15" customHeight="1" x14ac:dyDescent="0.15">
      <c r="E21" s="11">
        <f>LTBL_14132[[#Totals],[個人／事業所数]]/LTBL_14132[[#Totals],[総数／事業所数]]</f>
        <v>0.47247360482654599</v>
      </c>
      <c r="G21" s="11">
        <f>LTBL_14132[[#Totals],[法人／事業所数]]/LTBL_14132[[#Totals],[総数／事業所数]]</f>
        <v>0.52714932126696834</v>
      </c>
      <c r="I21" s="11">
        <f>LTBL_14132[[#Totals],[法人以外の団体／事業所数]]/LTBL_14132[[#Totals],[総数／事業所数]]</f>
        <v>3.7707390648567121E-4</v>
      </c>
    </row>
    <row r="23" spans="2:9" ht="33" customHeight="1" x14ac:dyDescent="0.15">
      <c r="B23" t="s">
        <v>215</v>
      </c>
      <c r="C23" s="10" t="s">
        <v>78</v>
      </c>
      <c r="D23" s="10" t="s">
        <v>305</v>
      </c>
      <c r="E23" s="10" t="s">
        <v>80</v>
      </c>
      <c r="F23" s="10" t="s">
        <v>223</v>
      </c>
      <c r="G23" s="10" t="s">
        <v>82</v>
      </c>
      <c r="H23" s="10" t="s">
        <v>306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307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337</v>
      </c>
      <c r="D29" s="8">
        <v>12.71</v>
      </c>
      <c r="E29" s="12">
        <v>289</v>
      </c>
      <c r="F29" s="8">
        <v>23.06</v>
      </c>
      <c r="G29" s="12">
        <v>48</v>
      </c>
      <c r="H29" s="8">
        <v>3.43</v>
      </c>
      <c r="I29" s="12">
        <v>0</v>
      </c>
    </row>
    <row r="30" spans="2:9" ht="15" customHeight="1" x14ac:dyDescent="0.15">
      <c r="B30" t="s">
        <v>100</v>
      </c>
      <c r="C30" s="12">
        <v>275</v>
      </c>
      <c r="D30" s="8">
        <v>10.37</v>
      </c>
      <c r="E30" s="12">
        <v>222</v>
      </c>
      <c r="F30" s="8">
        <v>17.72</v>
      </c>
      <c r="G30" s="12">
        <v>53</v>
      </c>
      <c r="H30" s="8">
        <v>3.79</v>
      </c>
      <c r="I30" s="12">
        <v>0</v>
      </c>
    </row>
    <row r="31" spans="2:9" ht="15" customHeight="1" x14ac:dyDescent="0.15">
      <c r="B31" t="s">
        <v>96</v>
      </c>
      <c r="C31" s="12">
        <v>272</v>
      </c>
      <c r="D31" s="8">
        <v>10.26</v>
      </c>
      <c r="E31" s="12">
        <v>143</v>
      </c>
      <c r="F31" s="8">
        <v>11.41</v>
      </c>
      <c r="G31" s="12">
        <v>129</v>
      </c>
      <c r="H31" s="8">
        <v>9.23</v>
      </c>
      <c r="I31" s="12">
        <v>0</v>
      </c>
    </row>
    <row r="32" spans="2:9" ht="15" customHeight="1" x14ac:dyDescent="0.15">
      <c r="B32" t="s">
        <v>94</v>
      </c>
      <c r="C32" s="12">
        <v>164</v>
      </c>
      <c r="D32" s="8">
        <v>6.18</v>
      </c>
      <c r="E32" s="12">
        <v>76</v>
      </c>
      <c r="F32" s="8">
        <v>6.07</v>
      </c>
      <c r="G32" s="12">
        <v>88</v>
      </c>
      <c r="H32" s="8">
        <v>6.29</v>
      </c>
      <c r="I32" s="12">
        <v>0</v>
      </c>
    </row>
    <row r="33" spans="2:9" ht="15" customHeight="1" x14ac:dyDescent="0.15">
      <c r="B33" t="s">
        <v>86</v>
      </c>
      <c r="C33" s="12">
        <v>141</v>
      </c>
      <c r="D33" s="8">
        <v>5.32</v>
      </c>
      <c r="E33" s="12">
        <v>34</v>
      </c>
      <c r="F33" s="8">
        <v>2.71</v>
      </c>
      <c r="G33" s="12">
        <v>107</v>
      </c>
      <c r="H33" s="8">
        <v>7.65</v>
      </c>
      <c r="I33" s="12">
        <v>0</v>
      </c>
    </row>
    <row r="34" spans="2:9" ht="15" customHeight="1" x14ac:dyDescent="0.15">
      <c r="B34" t="s">
        <v>92</v>
      </c>
      <c r="C34" s="12">
        <v>141</v>
      </c>
      <c r="D34" s="8">
        <v>5.32</v>
      </c>
      <c r="E34" s="12">
        <v>77</v>
      </c>
      <c r="F34" s="8">
        <v>6.15</v>
      </c>
      <c r="G34" s="12">
        <v>64</v>
      </c>
      <c r="H34" s="8">
        <v>4.58</v>
      </c>
      <c r="I34" s="12">
        <v>0</v>
      </c>
    </row>
    <row r="35" spans="2:9" ht="15" customHeight="1" x14ac:dyDescent="0.15">
      <c r="B35" t="s">
        <v>87</v>
      </c>
      <c r="C35" s="12">
        <v>125</v>
      </c>
      <c r="D35" s="8">
        <v>4.71</v>
      </c>
      <c r="E35" s="12">
        <v>11</v>
      </c>
      <c r="F35" s="8">
        <v>0.88</v>
      </c>
      <c r="G35" s="12">
        <v>114</v>
      </c>
      <c r="H35" s="8">
        <v>8.15</v>
      </c>
      <c r="I35" s="12">
        <v>0</v>
      </c>
    </row>
    <row r="36" spans="2:9" ht="15" customHeight="1" x14ac:dyDescent="0.15">
      <c r="B36" t="s">
        <v>85</v>
      </c>
      <c r="C36" s="12">
        <v>113</v>
      </c>
      <c r="D36" s="8">
        <v>4.26</v>
      </c>
      <c r="E36" s="12">
        <v>19</v>
      </c>
      <c r="F36" s="8">
        <v>1.52</v>
      </c>
      <c r="G36" s="12">
        <v>94</v>
      </c>
      <c r="H36" s="8">
        <v>6.72</v>
      </c>
      <c r="I36" s="12">
        <v>0</v>
      </c>
    </row>
    <row r="37" spans="2:9" ht="15" customHeight="1" x14ac:dyDescent="0.15">
      <c r="B37" t="s">
        <v>103</v>
      </c>
      <c r="C37" s="12">
        <v>90</v>
      </c>
      <c r="D37" s="8">
        <v>3.39</v>
      </c>
      <c r="E37" s="12">
        <v>76</v>
      </c>
      <c r="F37" s="8">
        <v>6.07</v>
      </c>
      <c r="G37" s="12">
        <v>14</v>
      </c>
      <c r="H37" s="8">
        <v>1</v>
      </c>
      <c r="I37" s="12">
        <v>0</v>
      </c>
    </row>
    <row r="38" spans="2:9" ht="15" customHeight="1" x14ac:dyDescent="0.15">
      <c r="B38" t="s">
        <v>102</v>
      </c>
      <c r="C38" s="12">
        <v>69</v>
      </c>
      <c r="D38" s="8">
        <v>2.6</v>
      </c>
      <c r="E38" s="12">
        <v>45</v>
      </c>
      <c r="F38" s="8">
        <v>3.59</v>
      </c>
      <c r="G38" s="12">
        <v>24</v>
      </c>
      <c r="H38" s="8">
        <v>1.72</v>
      </c>
      <c r="I38" s="12">
        <v>0</v>
      </c>
    </row>
    <row r="39" spans="2:9" ht="15" customHeight="1" x14ac:dyDescent="0.15">
      <c r="B39" t="s">
        <v>91</v>
      </c>
      <c r="C39" s="12">
        <v>64</v>
      </c>
      <c r="D39" s="8">
        <v>2.41</v>
      </c>
      <c r="E39" s="12">
        <v>30</v>
      </c>
      <c r="F39" s="8">
        <v>2.39</v>
      </c>
      <c r="G39" s="12">
        <v>34</v>
      </c>
      <c r="H39" s="8">
        <v>2.4300000000000002</v>
      </c>
      <c r="I39" s="12">
        <v>0</v>
      </c>
    </row>
    <row r="40" spans="2:9" ht="15" customHeight="1" x14ac:dyDescent="0.15">
      <c r="B40" t="s">
        <v>95</v>
      </c>
      <c r="C40" s="12">
        <v>61</v>
      </c>
      <c r="D40" s="8">
        <v>2.2999999999999998</v>
      </c>
      <c r="E40" s="12">
        <v>6</v>
      </c>
      <c r="F40" s="8">
        <v>0.48</v>
      </c>
      <c r="G40" s="12">
        <v>55</v>
      </c>
      <c r="H40" s="8">
        <v>3.93</v>
      </c>
      <c r="I40" s="12">
        <v>0</v>
      </c>
    </row>
    <row r="41" spans="2:9" ht="15" customHeight="1" x14ac:dyDescent="0.15">
      <c r="B41" t="s">
        <v>114</v>
      </c>
      <c r="C41" s="12">
        <v>59</v>
      </c>
      <c r="D41" s="8">
        <v>2.2200000000000002</v>
      </c>
      <c r="E41" s="12">
        <v>59</v>
      </c>
      <c r="F41" s="8">
        <v>4.71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88</v>
      </c>
      <c r="C42" s="12">
        <v>57</v>
      </c>
      <c r="D42" s="8">
        <v>2.15</v>
      </c>
      <c r="E42" s="12">
        <v>7</v>
      </c>
      <c r="F42" s="8">
        <v>0.56000000000000005</v>
      </c>
      <c r="G42" s="12">
        <v>50</v>
      </c>
      <c r="H42" s="8">
        <v>3.58</v>
      </c>
      <c r="I42" s="12">
        <v>0</v>
      </c>
    </row>
    <row r="43" spans="2:9" ht="15" customHeight="1" x14ac:dyDescent="0.15">
      <c r="B43" t="s">
        <v>89</v>
      </c>
      <c r="C43" s="12">
        <v>55</v>
      </c>
      <c r="D43" s="8">
        <v>2.0699999999999998</v>
      </c>
      <c r="E43" s="12">
        <v>7</v>
      </c>
      <c r="F43" s="8">
        <v>0.56000000000000005</v>
      </c>
      <c r="G43" s="12">
        <v>48</v>
      </c>
      <c r="H43" s="8">
        <v>3.43</v>
      </c>
      <c r="I43" s="12">
        <v>0</v>
      </c>
    </row>
    <row r="44" spans="2:9" ht="15" customHeight="1" x14ac:dyDescent="0.15">
      <c r="B44" t="s">
        <v>93</v>
      </c>
      <c r="C44" s="12">
        <v>46</v>
      </c>
      <c r="D44" s="8">
        <v>1.73</v>
      </c>
      <c r="E44" s="12">
        <v>16</v>
      </c>
      <c r="F44" s="8">
        <v>1.28</v>
      </c>
      <c r="G44" s="12">
        <v>30</v>
      </c>
      <c r="H44" s="8">
        <v>2.15</v>
      </c>
      <c r="I44" s="12">
        <v>0</v>
      </c>
    </row>
    <row r="45" spans="2:9" ht="15" customHeight="1" x14ac:dyDescent="0.15">
      <c r="B45" t="s">
        <v>97</v>
      </c>
      <c r="C45" s="12">
        <v>46</v>
      </c>
      <c r="D45" s="8">
        <v>1.73</v>
      </c>
      <c r="E45" s="12">
        <v>28</v>
      </c>
      <c r="F45" s="8">
        <v>2.23</v>
      </c>
      <c r="G45" s="12">
        <v>18</v>
      </c>
      <c r="H45" s="8">
        <v>1.29</v>
      </c>
      <c r="I45" s="12">
        <v>0</v>
      </c>
    </row>
    <row r="46" spans="2:9" ht="15" customHeight="1" x14ac:dyDescent="0.15">
      <c r="B46" t="s">
        <v>98</v>
      </c>
      <c r="C46" s="12">
        <v>44</v>
      </c>
      <c r="D46" s="8">
        <v>1.66</v>
      </c>
      <c r="E46" s="12">
        <v>12</v>
      </c>
      <c r="F46" s="8">
        <v>0.96</v>
      </c>
      <c r="G46" s="12">
        <v>32</v>
      </c>
      <c r="H46" s="8">
        <v>2.29</v>
      </c>
      <c r="I46" s="12">
        <v>0</v>
      </c>
    </row>
    <row r="47" spans="2:9" ht="15" customHeight="1" x14ac:dyDescent="0.15">
      <c r="B47" t="s">
        <v>104</v>
      </c>
      <c r="C47" s="12">
        <v>29</v>
      </c>
      <c r="D47" s="8">
        <v>1.0900000000000001</v>
      </c>
      <c r="E47" s="12">
        <v>2</v>
      </c>
      <c r="F47" s="8">
        <v>0.16</v>
      </c>
      <c r="G47" s="12">
        <v>27</v>
      </c>
      <c r="H47" s="8">
        <v>1.93</v>
      </c>
      <c r="I47" s="12">
        <v>0</v>
      </c>
    </row>
    <row r="48" spans="2:9" ht="15" customHeight="1" x14ac:dyDescent="0.15">
      <c r="B48" t="s">
        <v>106</v>
      </c>
      <c r="C48" s="12">
        <v>27</v>
      </c>
      <c r="D48" s="8">
        <v>1.02</v>
      </c>
      <c r="E48" s="12">
        <v>8</v>
      </c>
      <c r="F48" s="8">
        <v>0.64</v>
      </c>
      <c r="G48" s="12">
        <v>19</v>
      </c>
      <c r="H48" s="8">
        <v>1.36</v>
      </c>
      <c r="I48" s="12">
        <v>0</v>
      </c>
    </row>
    <row r="49" spans="2:9" ht="15" customHeight="1" x14ac:dyDescent="0.15">
      <c r="B49" t="s">
        <v>116</v>
      </c>
      <c r="C49" s="12">
        <v>27</v>
      </c>
      <c r="D49" s="8">
        <v>1.02</v>
      </c>
      <c r="E49" s="12">
        <v>21</v>
      </c>
      <c r="F49" s="8">
        <v>1.68</v>
      </c>
      <c r="G49" s="12">
        <v>6</v>
      </c>
      <c r="H49" s="8">
        <v>0.43</v>
      </c>
      <c r="I49" s="12">
        <v>0</v>
      </c>
    </row>
    <row r="52" spans="2:9" ht="33" customHeight="1" x14ac:dyDescent="0.15">
      <c r="B52" t="s">
        <v>283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169</v>
      </c>
      <c r="D53" s="8">
        <v>6.37</v>
      </c>
      <c r="E53" s="12">
        <v>107</v>
      </c>
      <c r="F53" s="8">
        <v>8.5399999999999991</v>
      </c>
      <c r="G53" s="12">
        <v>62</v>
      </c>
      <c r="H53" s="8">
        <v>4.43</v>
      </c>
      <c r="I53" s="12">
        <v>0</v>
      </c>
    </row>
    <row r="54" spans="2:9" ht="15" customHeight="1" x14ac:dyDescent="0.15">
      <c r="B54" t="s">
        <v>155</v>
      </c>
      <c r="C54" s="12">
        <v>107</v>
      </c>
      <c r="D54" s="8">
        <v>4.03</v>
      </c>
      <c r="E54" s="12">
        <v>88</v>
      </c>
      <c r="F54" s="8">
        <v>7.02</v>
      </c>
      <c r="G54" s="12">
        <v>19</v>
      </c>
      <c r="H54" s="8">
        <v>1.36</v>
      </c>
      <c r="I54" s="12">
        <v>0</v>
      </c>
    </row>
    <row r="55" spans="2:9" ht="15" customHeight="1" x14ac:dyDescent="0.15">
      <c r="B55" t="s">
        <v>151</v>
      </c>
      <c r="C55" s="12">
        <v>103</v>
      </c>
      <c r="D55" s="8">
        <v>3.88</v>
      </c>
      <c r="E55" s="12">
        <v>95</v>
      </c>
      <c r="F55" s="8">
        <v>7.58</v>
      </c>
      <c r="G55" s="12">
        <v>8</v>
      </c>
      <c r="H55" s="8">
        <v>0.56999999999999995</v>
      </c>
      <c r="I55" s="12">
        <v>0</v>
      </c>
    </row>
    <row r="56" spans="2:9" ht="15" customHeight="1" x14ac:dyDescent="0.15">
      <c r="B56" t="s">
        <v>150</v>
      </c>
      <c r="C56" s="12">
        <v>95</v>
      </c>
      <c r="D56" s="8">
        <v>3.58</v>
      </c>
      <c r="E56" s="12">
        <v>77</v>
      </c>
      <c r="F56" s="8">
        <v>6.15</v>
      </c>
      <c r="G56" s="12">
        <v>18</v>
      </c>
      <c r="H56" s="8">
        <v>1.29</v>
      </c>
      <c r="I56" s="12">
        <v>0</v>
      </c>
    </row>
    <row r="57" spans="2:9" ht="15" customHeight="1" x14ac:dyDescent="0.15">
      <c r="B57" t="s">
        <v>154</v>
      </c>
      <c r="C57" s="12">
        <v>85</v>
      </c>
      <c r="D57" s="8">
        <v>3.21</v>
      </c>
      <c r="E57" s="12">
        <v>79</v>
      </c>
      <c r="F57" s="8">
        <v>6.3</v>
      </c>
      <c r="G57" s="12">
        <v>6</v>
      </c>
      <c r="H57" s="8">
        <v>0.43</v>
      </c>
      <c r="I57" s="12">
        <v>0</v>
      </c>
    </row>
    <row r="58" spans="2:9" ht="15" customHeight="1" x14ac:dyDescent="0.15">
      <c r="B58" t="s">
        <v>145</v>
      </c>
      <c r="C58" s="12">
        <v>66</v>
      </c>
      <c r="D58" s="8">
        <v>2.4900000000000002</v>
      </c>
      <c r="E58" s="12">
        <v>41</v>
      </c>
      <c r="F58" s="8">
        <v>3.27</v>
      </c>
      <c r="G58" s="12">
        <v>25</v>
      </c>
      <c r="H58" s="8">
        <v>1.79</v>
      </c>
      <c r="I58" s="12">
        <v>0</v>
      </c>
    </row>
    <row r="59" spans="2:9" ht="15" customHeight="1" x14ac:dyDescent="0.15">
      <c r="B59" t="s">
        <v>143</v>
      </c>
      <c r="C59" s="12">
        <v>65</v>
      </c>
      <c r="D59" s="8">
        <v>2.4500000000000002</v>
      </c>
      <c r="E59" s="12">
        <v>38</v>
      </c>
      <c r="F59" s="8">
        <v>3.03</v>
      </c>
      <c r="G59" s="12">
        <v>27</v>
      </c>
      <c r="H59" s="8">
        <v>1.93</v>
      </c>
      <c r="I59" s="12">
        <v>0</v>
      </c>
    </row>
    <row r="60" spans="2:9" ht="15" customHeight="1" x14ac:dyDescent="0.15">
      <c r="B60" t="s">
        <v>153</v>
      </c>
      <c r="C60" s="12">
        <v>62</v>
      </c>
      <c r="D60" s="8">
        <v>2.34</v>
      </c>
      <c r="E60" s="12">
        <v>41</v>
      </c>
      <c r="F60" s="8">
        <v>3.27</v>
      </c>
      <c r="G60" s="12">
        <v>21</v>
      </c>
      <c r="H60" s="8">
        <v>1.5</v>
      </c>
      <c r="I60" s="12">
        <v>0</v>
      </c>
    </row>
    <row r="61" spans="2:9" ht="15" customHeight="1" x14ac:dyDescent="0.15">
      <c r="B61" t="s">
        <v>184</v>
      </c>
      <c r="C61" s="12">
        <v>59</v>
      </c>
      <c r="D61" s="8">
        <v>2.2200000000000002</v>
      </c>
      <c r="E61" s="12">
        <v>59</v>
      </c>
      <c r="F61" s="8">
        <v>4.71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152</v>
      </c>
      <c r="C62" s="12">
        <v>59</v>
      </c>
      <c r="D62" s="8">
        <v>2.2200000000000002</v>
      </c>
      <c r="E62" s="12">
        <v>58</v>
      </c>
      <c r="F62" s="8">
        <v>4.63</v>
      </c>
      <c r="G62" s="12">
        <v>1</v>
      </c>
      <c r="H62" s="8">
        <v>7.0000000000000007E-2</v>
      </c>
      <c r="I62" s="12">
        <v>0</v>
      </c>
    </row>
    <row r="63" spans="2:9" ht="15" customHeight="1" x14ac:dyDescent="0.15">
      <c r="B63" t="s">
        <v>149</v>
      </c>
      <c r="C63" s="12">
        <v>56</v>
      </c>
      <c r="D63" s="8">
        <v>2.11</v>
      </c>
      <c r="E63" s="12">
        <v>7</v>
      </c>
      <c r="F63" s="8">
        <v>0.56000000000000005</v>
      </c>
      <c r="G63" s="12">
        <v>49</v>
      </c>
      <c r="H63" s="8">
        <v>3.51</v>
      </c>
      <c r="I63" s="12">
        <v>0</v>
      </c>
    </row>
    <row r="64" spans="2:9" ht="15" customHeight="1" x14ac:dyDescent="0.15">
      <c r="B64" t="s">
        <v>140</v>
      </c>
      <c r="C64" s="12">
        <v>52</v>
      </c>
      <c r="D64" s="8">
        <v>1.96</v>
      </c>
      <c r="E64" s="12">
        <v>5</v>
      </c>
      <c r="F64" s="8">
        <v>0.4</v>
      </c>
      <c r="G64" s="12">
        <v>47</v>
      </c>
      <c r="H64" s="8">
        <v>3.36</v>
      </c>
      <c r="I64" s="12">
        <v>0</v>
      </c>
    </row>
    <row r="65" spans="2:9" ht="15" customHeight="1" x14ac:dyDescent="0.15">
      <c r="B65" t="s">
        <v>157</v>
      </c>
      <c r="C65" s="12">
        <v>52</v>
      </c>
      <c r="D65" s="8">
        <v>1.96</v>
      </c>
      <c r="E65" s="12">
        <v>41</v>
      </c>
      <c r="F65" s="8">
        <v>3.27</v>
      </c>
      <c r="G65" s="12">
        <v>11</v>
      </c>
      <c r="H65" s="8">
        <v>0.79</v>
      </c>
      <c r="I65" s="12">
        <v>0</v>
      </c>
    </row>
    <row r="66" spans="2:9" ht="15" customHeight="1" x14ac:dyDescent="0.15">
      <c r="B66" t="s">
        <v>141</v>
      </c>
      <c r="C66" s="12">
        <v>49</v>
      </c>
      <c r="D66" s="8">
        <v>1.85</v>
      </c>
      <c r="E66" s="12">
        <v>5</v>
      </c>
      <c r="F66" s="8">
        <v>0.4</v>
      </c>
      <c r="G66" s="12">
        <v>44</v>
      </c>
      <c r="H66" s="8">
        <v>3.15</v>
      </c>
      <c r="I66" s="12">
        <v>0</v>
      </c>
    </row>
    <row r="67" spans="2:9" ht="15" customHeight="1" x14ac:dyDescent="0.15">
      <c r="B67" t="s">
        <v>156</v>
      </c>
      <c r="C67" s="12">
        <v>49</v>
      </c>
      <c r="D67" s="8">
        <v>1.85</v>
      </c>
      <c r="E67" s="12">
        <v>33</v>
      </c>
      <c r="F67" s="8">
        <v>2.63</v>
      </c>
      <c r="G67" s="12">
        <v>16</v>
      </c>
      <c r="H67" s="8">
        <v>1.1399999999999999</v>
      </c>
      <c r="I67" s="12">
        <v>0</v>
      </c>
    </row>
    <row r="68" spans="2:9" ht="15" customHeight="1" x14ac:dyDescent="0.15">
      <c r="B68" t="s">
        <v>146</v>
      </c>
      <c r="C68" s="12">
        <v>47</v>
      </c>
      <c r="D68" s="8">
        <v>1.77</v>
      </c>
      <c r="E68" s="12">
        <v>6</v>
      </c>
      <c r="F68" s="8">
        <v>0.48</v>
      </c>
      <c r="G68" s="12">
        <v>41</v>
      </c>
      <c r="H68" s="8">
        <v>2.93</v>
      </c>
      <c r="I68" s="12">
        <v>0</v>
      </c>
    </row>
    <row r="69" spans="2:9" ht="15" customHeight="1" x14ac:dyDescent="0.15">
      <c r="B69" t="s">
        <v>163</v>
      </c>
      <c r="C69" s="12">
        <v>35</v>
      </c>
      <c r="D69" s="8">
        <v>1.32</v>
      </c>
      <c r="E69" s="12">
        <v>32</v>
      </c>
      <c r="F69" s="8">
        <v>2.5499999999999998</v>
      </c>
      <c r="G69" s="12">
        <v>3</v>
      </c>
      <c r="H69" s="8">
        <v>0.21</v>
      </c>
      <c r="I69" s="12">
        <v>0</v>
      </c>
    </row>
    <row r="70" spans="2:9" ht="15" customHeight="1" x14ac:dyDescent="0.15">
      <c r="B70" t="s">
        <v>161</v>
      </c>
      <c r="C70" s="12">
        <v>33</v>
      </c>
      <c r="D70" s="8">
        <v>1.24</v>
      </c>
      <c r="E70" s="12">
        <v>10</v>
      </c>
      <c r="F70" s="8">
        <v>0.8</v>
      </c>
      <c r="G70" s="12">
        <v>23</v>
      </c>
      <c r="H70" s="8">
        <v>1.65</v>
      </c>
      <c r="I70" s="12">
        <v>0</v>
      </c>
    </row>
    <row r="71" spans="2:9" ht="15" customHeight="1" x14ac:dyDescent="0.15">
      <c r="B71" t="s">
        <v>139</v>
      </c>
      <c r="C71" s="12">
        <v>32</v>
      </c>
      <c r="D71" s="8">
        <v>1.21</v>
      </c>
      <c r="E71" s="12">
        <v>6</v>
      </c>
      <c r="F71" s="8">
        <v>0.48</v>
      </c>
      <c r="G71" s="12">
        <v>26</v>
      </c>
      <c r="H71" s="8">
        <v>1.86</v>
      </c>
      <c r="I71" s="12">
        <v>0</v>
      </c>
    </row>
    <row r="72" spans="2:9" ht="15" customHeight="1" x14ac:dyDescent="0.15">
      <c r="B72" t="s">
        <v>158</v>
      </c>
      <c r="C72" s="12">
        <v>32</v>
      </c>
      <c r="D72" s="8">
        <v>1.21</v>
      </c>
      <c r="E72" s="12">
        <v>4</v>
      </c>
      <c r="F72" s="8">
        <v>0.32</v>
      </c>
      <c r="G72" s="12">
        <v>28</v>
      </c>
      <c r="H72" s="8">
        <v>2</v>
      </c>
      <c r="I72" s="12">
        <v>0</v>
      </c>
    </row>
    <row r="73" spans="2:9" ht="15" customHeight="1" x14ac:dyDescent="0.15">
      <c r="B73" t="s">
        <v>166</v>
      </c>
      <c r="C73" s="12">
        <v>32</v>
      </c>
      <c r="D73" s="8">
        <v>1.21</v>
      </c>
      <c r="E73" s="12">
        <v>13</v>
      </c>
      <c r="F73" s="8">
        <v>1.04</v>
      </c>
      <c r="G73" s="12">
        <v>19</v>
      </c>
      <c r="H73" s="8">
        <v>1.36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360</v>
      </c>
      <c r="D6" s="8">
        <v>9.2200000000000006</v>
      </c>
      <c r="E6" s="12">
        <v>52</v>
      </c>
      <c r="F6" s="8">
        <v>2.92</v>
      </c>
      <c r="G6" s="12">
        <v>308</v>
      </c>
      <c r="H6" s="8">
        <v>14.51</v>
      </c>
      <c r="I6" s="12">
        <v>0</v>
      </c>
    </row>
    <row r="7" spans="2:9" ht="15" customHeight="1" x14ac:dyDescent="0.15">
      <c r="B7" t="s">
        <v>64</v>
      </c>
      <c r="C7" s="12">
        <v>402</v>
      </c>
      <c r="D7" s="8">
        <v>10.29</v>
      </c>
      <c r="E7" s="12">
        <v>86</v>
      </c>
      <c r="F7" s="8">
        <v>4.83</v>
      </c>
      <c r="G7" s="12">
        <v>316</v>
      </c>
      <c r="H7" s="8">
        <v>14.88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50</v>
      </c>
      <c r="D9" s="8">
        <v>1.28</v>
      </c>
      <c r="E9" s="12">
        <v>3</v>
      </c>
      <c r="F9" s="8">
        <v>0.17</v>
      </c>
      <c r="G9" s="12">
        <v>47</v>
      </c>
      <c r="H9" s="8">
        <v>2.21</v>
      </c>
      <c r="I9" s="12">
        <v>0</v>
      </c>
    </row>
    <row r="10" spans="2:9" ht="15" customHeight="1" x14ac:dyDescent="0.15">
      <c r="B10" t="s">
        <v>67</v>
      </c>
      <c r="C10" s="12">
        <v>31</v>
      </c>
      <c r="D10" s="8">
        <v>0.79</v>
      </c>
      <c r="E10" s="12">
        <v>22</v>
      </c>
      <c r="F10" s="8">
        <v>1.24</v>
      </c>
      <c r="G10" s="12">
        <v>9</v>
      </c>
      <c r="H10" s="8">
        <v>0.42</v>
      </c>
      <c r="I10" s="12">
        <v>0</v>
      </c>
    </row>
    <row r="11" spans="2:9" ht="15" customHeight="1" x14ac:dyDescent="0.15">
      <c r="B11" t="s">
        <v>68</v>
      </c>
      <c r="C11" s="12">
        <v>804</v>
      </c>
      <c r="D11" s="8">
        <v>20.59</v>
      </c>
      <c r="E11" s="12">
        <v>309</v>
      </c>
      <c r="F11" s="8">
        <v>17.350000000000001</v>
      </c>
      <c r="G11" s="12">
        <v>495</v>
      </c>
      <c r="H11" s="8">
        <v>23.32</v>
      </c>
      <c r="I11" s="12">
        <v>0</v>
      </c>
    </row>
    <row r="12" spans="2:9" ht="15" customHeight="1" x14ac:dyDescent="0.15">
      <c r="B12" t="s">
        <v>69</v>
      </c>
      <c r="C12" s="12">
        <v>24</v>
      </c>
      <c r="D12" s="8">
        <v>0.61</v>
      </c>
      <c r="E12" s="12">
        <v>1</v>
      </c>
      <c r="F12" s="8">
        <v>0.06</v>
      </c>
      <c r="G12" s="12">
        <v>23</v>
      </c>
      <c r="H12" s="8">
        <v>1.08</v>
      </c>
      <c r="I12" s="12">
        <v>0</v>
      </c>
    </row>
    <row r="13" spans="2:9" ht="15" customHeight="1" x14ac:dyDescent="0.15">
      <c r="B13" t="s">
        <v>70</v>
      </c>
      <c r="C13" s="12">
        <v>502</v>
      </c>
      <c r="D13" s="8">
        <v>12.86</v>
      </c>
      <c r="E13" s="12">
        <v>171</v>
      </c>
      <c r="F13" s="8">
        <v>9.6</v>
      </c>
      <c r="G13" s="12">
        <v>331</v>
      </c>
      <c r="H13" s="8">
        <v>15.59</v>
      </c>
      <c r="I13" s="12">
        <v>0</v>
      </c>
    </row>
    <row r="14" spans="2:9" ht="15" customHeight="1" x14ac:dyDescent="0.15">
      <c r="B14" t="s">
        <v>71</v>
      </c>
      <c r="C14" s="12">
        <v>172</v>
      </c>
      <c r="D14" s="8">
        <v>4.4000000000000004</v>
      </c>
      <c r="E14" s="12">
        <v>83</v>
      </c>
      <c r="F14" s="8">
        <v>4.66</v>
      </c>
      <c r="G14" s="12">
        <v>89</v>
      </c>
      <c r="H14" s="8">
        <v>4.1900000000000004</v>
      </c>
      <c r="I14" s="12">
        <v>0</v>
      </c>
    </row>
    <row r="15" spans="2:9" ht="15" customHeight="1" x14ac:dyDescent="0.15">
      <c r="B15" t="s">
        <v>72</v>
      </c>
      <c r="C15" s="12">
        <v>645</v>
      </c>
      <c r="D15" s="8">
        <v>16.52</v>
      </c>
      <c r="E15" s="12">
        <v>460</v>
      </c>
      <c r="F15" s="8">
        <v>25.83</v>
      </c>
      <c r="G15" s="12">
        <v>185</v>
      </c>
      <c r="H15" s="8">
        <v>8.7100000000000009</v>
      </c>
      <c r="I15" s="12">
        <v>0</v>
      </c>
    </row>
    <row r="16" spans="2:9" ht="15" customHeight="1" x14ac:dyDescent="0.15">
      <c r="B16" t="s">
        <v>73</v>
      </c>
      <c r="C16" s="12">
        <v>448</v>
      </c>
      <c r="D16" s="8">
        <v>11.47</v>
      </c>
      <c r="E16" s="12">
        <v>307</v>
      </c>
      <c r="F16" s="8">
        <v>17.239999999999998</v>
      </c>
      <c r="G16" s="12">
        <v>141</v>
      </c>
      <c r="H16" s="8">
        <v>6.64</v>
      </c>
      <c r="I16" s="12">
        <v>0</v>
      </c>
    </row>
    <row r="17" spans="2:9" ht="15" customHeight="1" x14ac:dyDescent="0.15">
      <c r="B17" t="s">
        <v>74</v>
      </c>
      <c r="C17" s="12">
        <v>132</v>
      </c>
      <c r="D17" s="8">
        <v>3.38</v>
      </c>
      <c r="E17" s="12">
        <v>90</v>
      </c>
      <c r="F17" s="8">
        <v>5.05</v>
      </c>
      <c r="G17" s="12">
        <v>42</v>
      </c>
      <c r="H17" s="8">
        <v>1.98</v>
      </c>
      <c r="I17" s="12">
        <v>0</v>
      </c>
    </row>
    <row r="18" spans="2:9" ht="15" customHeight="1" x14ac:dyDescent="0.15">
      <c r="B18" t="s">
        <v>75</v>
      </c>
      <c r="C18" s="12">
        <v>252</v>
      </c>
      <c r="D18" s="8">
        <v>6.45</v>
      </c>
      <c r="E18" s="12">
        <v>181</v>
      </c>
      <c r="F18" s="8">
        <v>10.16</v>
      </c>
      <c r="G18" s="12">
        <v>71</v>
      </c>
      <c r="H18" s="8">
        <v>3.34</v>
      </c>
      <c r="I18" s="12">
        <v>0</v>
      </c>
    </row>
    <row r="19" spans="2:9" ht="15" customHeight="1" x14ac:dyDescent="0.15">
      <c r="B19" t="s">
        <v>76</v>
      </c>
      <c r="C19" s="12">
        <v>83</v>
      </c>
      <c r="D19" s="8">
        <v>2.13</v>
      </c>
      <c r="E19" s="12">
        <v>16</v>
      </c>
      <c r="F19" s="8">
        <v>0.9</v>
      </c>
      <c r="G19" s="12">
        <v>66</v>
      </c>
      <c r="H19" s="8">
        <v>3.11</v>
      </c>
      <c r="I19" s="12">
        <v>1</v>
      </c>
    </row>
    <row r="20" spans="2:9" ht="15" customHeight="1" x14ac:dyDescent="0.15">
      <c r="B20" s="9" t="s">
        <v>216</v>
      </c>
      <c r="C20" s="12">
        <f>SUM(LTBL_14133[総数／事業所数])</f>
        <v>3905</v>
      </c>
      <c r="E20" s="12">
        <f>SUBTOTAL(109,LTBL_14133[個人／事業所数])</f>
        <v>1781</v>
      </c>
      <c r="G20" s="12">
        <f>SUBTOTAL(109,LTBL_14133[法人／事業所数])</f>
        <v>2123</v>
      </c>
      <c r="I20" s="12">
        <f>SUBTOTAL(109,LTBL_14133[法人以外の団体／事業所数])</f>
        <v>1</v>
      </c>
    </row>
    <row r="21" spans="2:9" ht="15" customHeight="1" x14ac:dyDescent="0.15">
      <c r="E21" s="11">
        <f>LTBL_14133[[#Totals],[個人／事業所数]]/LTBL_14133[[#Totals],[総数／事業所数]]</f>
        <v>0.4560819462227913</v>
      </c>
      <c r="G21" s="11">
        <f>LTBL_14133[[#Totals],[法人／事業所数]]/LTBL_14133[[#Totals],[総数／事業所数]]</f>
        <v>0.54366197183098597</v>
      </c>
      <c r="I21" s="11">
        <f>LTBL_14133[[#Totals],[法人以外の団体／事業所数]]/LTBL_14133[[#Totals],[総数／事業所数]]</f>
        <v>2.5608194622279127E-4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235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592</v>
      </c>
      <c r="D29" s="8">
        <v>15.16</v>
      </c>
      <c r="E29" s="12">
        <v>454</v>
      </c>
      <c r="F29" s="8">
        <v>25.49</v>
      </c>
      <c r="G29" s="12">
        <v>138</v>
      </c>
      <c r="H29" s="8">
        <v>6.5</v>
      </c>
      <c r="I29" s="12">
        <v>0</v>
      </c>
    </row>
    <row r="30" spans="2:9" ht="15" customHeight="1" x14ac:dyDescent="0.15">
      <c r="B30" t="s">
        <v>100</v>
      </c>
      <c r="C30" s="12">
        <v>374</v>
      </c>
      <c r="D30" s="8">
        <v>9.58</v>
      </c>
      <c r="E30" s="12">
        <v>275</v>
      </c>
      <c r="F30" s="8">
        <v>15.44</v>
      </c>
      <c r="G30" s="12">
        <v>99</v>
      </c>
      <c r="H30" s="8">
        <v>4.66</v>
      </c>
      <c r="I30" s="12">
        <v>0</v>
      </c>
    </row>
    <row r="31" spans="2:9" ht="15" customHeight="1" x14ac:dyDescent="0.15">
      <c r="B31" t="s">
        <v>96</v>
      </c>
      <c r="C31" s="12">
        <v>369</v>
      </c>
      <c r="D31" s="8">
        <v>9.4499999999999993</v>
      </c>
      <c r="E31" s="12">
        <v>154</v>
      </c>
      <c r="F31" s="8">
        <v>8.65</v>
      </c>
      <c r="G31" s="12">
        <v>215</v>
      </c>
      <c r="H31" s="8">
        <v>10.130000000000001</v>
      </c>
      <c r="I31" s="12">
        <v>0</v>
      </c>
    </row>
    <row r="32" spans="2:9" ht="15" customHeight="1" x14ac:dyDescent="0.15">
      <c r="B32" t="s">
        <v>94</v>
      </c>
      <c r="C32" s="12">
        <v>260</v>
      </c>
      <c r="D32" s="8">
        <v>6.66</v>
      </c>
      <c r="E32" s="12">
        <v>107</v>
      </c>
      <c r="F32" s="8">
        <v>6.01</v>
      </c>
      <c r="G32" s="12">
        <v>153</v>
      </c>
      <c r="H32" s="8">
        <v>7.21</v>
      </c>
      <c r="I32" s="12">
        <v>0</v>
      </c>
    </row>
    <row r="33" spans="2:9" ht="15" customHeight="1" x14ac:dyDescent="0.15">
      <c r="B33" t="s">
        <v>103</v>
      </c>
      <c r="C33" s="12">
        <v>210</v>
      </c>
      <c r="D33" s="8">
        <v>5.38</v>
      </c>
      <c r="E33" s="12">
        <v>178</v>
      </c>
      <c r="F33" s="8">
        <v>9.99</v>
      </c>
      <c r="G33" s="12">
        <v>32</v>
      </c>
      <c r="H33" s="8">
        <v>1.51</v>
      </c>
      <c r="I33" s="12">
        <v>0</v>
      </c>
    </row>
    <row r="34" spans="2:9" ht="15" customHeight="1" x14ac:dyDescent="0.15">
      <c r="B34" t="s">
        <v>92</v>
      </c>
      <c r="C34" s="12">
        <v>193</v>
      </c>
      <c r="D34" s="8">
        <v>4.9400000000000004</v>
      </c>
      <c r="E34" s="12">
        <v>104</v>
      </c>
      <c r="F34" s="8">
        <v>5.84</v>
      </c>
      <c r="G34" s="12">
        <v>89</v>
      </c>
      <c r="H34" s="8">
        <v>4.1900000000000004</v>
      </c>
      <c r="I34" s="12">
        <v>0</v>
      </c>
    </row>
    <row r="35" spans="2:9" ht="15" customHeight="1" x14ac:dyDescent="0.15">
      <c r="B35" t="s">
        <v>85</v>
      </c>
      <c r="C35" s="12">
        <v>142</v>
      </c>
      <c r="D35" s="8">
        <v>3.64</v>
      </c>
      <c r="E35" s="12">
        <v>18</v>
      </c>
      <c r="F35" s="8">
        <v>1.01</v>
      </c>
      <c r="G35" s="12">
        <v>124</v>
      </c>
      <c r="H35" s="8">
        <v>5.84</v>
      </c>
      <c r="I35" s="12">
        <v>0</v>
      </c>
    </row>
    <row r="36" spans="2:9" ht="15" customHeight="1" x14ac:dyDescent="0.15">
      <c r="B36" t="s">
        <v>102</v>
      </c>
      <c r="C36" s="12">
        <v>132</v>
      </c>
      <c r="D36" s="8">
        <v>3.38</v>
      </c>
      <c r="E36" s="12">
        <v>90</v>
      </c>
      <c r="F36" s="8">
        <v>5.05</v>
      </c>
      <c r="G36" s="12">
        <v>42</v>
      </c>
      <c r="H36" s="8">
        <v>1.98</v>
      </c>
      <c r="I36" s="12">
        <v>0</v>
      </c>
    </row>
    <row r="37" spans="2:9" ht="15" customHeight="1" x14ac:dyDescent="0.15">
      <c r="B37" t="s">
        <v>95</v>
      </c>
      <c r="C37" s="12">
        <v>125</v>
      </c>
      <c r="D37" s="8">
        <v>3.2</v>
      </c>
      <c r="E37" s="12">
        <v>15</v>
      </c>
      <c r="F37" s="8">
        <v>0.84</v>
      </c>
      <c r="G37" s="12">
        <v>110</v>
      </c>
      <c r="H37" s="8">
        <v>5.18</v>
      </c>
      <c r="I37" s="12">
        <v>0</v>
      </c>
    </row>
    <row r="38" spans="2:9" ht="15" customHeight="1" x14ac:dyDescent="0.15">
      <c r="B38" t="s">
        <v>91</v>
      </c>
      <c r="C38" s="12">
        <v>124</v>
      </c>
      <c r="D38" s="8">
        <v>3.18</v>
      </c>
      <c r="E38" s="12">
        <v>48</v>
      </c>
      <c r="F38" s="8">
        <v>2.7</v>
      </c>
      <c r="G38" s="12">
        <v>76</v>
      </c>
      <c r="H38" s="8">
        <v>3.58</v>
      </c>
      <c r="I38" s="12">
        <v>0</v>
      </c>
    </row>
    <row r="39" spans="2:9" ht="15" customHeight="1" x14ac:dyDescent="0.15">
      <c r="B39" t="s">
        <v>86</v>
      </c>
      <c r="C39" s="12">
        <v>117</v>
      </c>
      <c r="D39" s="8">
        <v>3</v>
      </c>
      <c r="E39" s="12">
        <v>27</v>
      </c>
      <c r="F39" s="8">
        <v>1.52</v>
      </c>
      <c r="G39" s="12">
        <v>90</v>
      </c>
      <c r="H39" s="8">
        <v>4.24</v>
      </c>
      <c r="I39" s="12">
        <v>0</v>
      </c>
    </row>
    <row r="40" spans="2:9" ht="15" customHeight="1" x14ac:dyDescent="0.15">
      <c r="B40" t="s">
        <v>87</v>
      </c>
      <c r="C40" s="12">
        <v>101</v>
      </c>
      <c r="D40" s="8">
        <v>2.59</v>
      </c>
      <c r="E40" s="12">
        <v>7</v>
      </c>
      <c r="F40" s="8">
        <v>0.39</v>
      </c>
      <c r="G40" s="12">
        <v>94</v>
      </c>
      <c r="H40" s="8">
        <v>4.43</v>
      </c>
      <c r="I40" s="12">
        <v>0</v>
      </c>
    </row>
    <row r="41" spans="2:9" ht="15" customHeight="1" x14ac:dyDescent="0.15">
      <c r="B41" t="s">
        <v>97</v>
      </c>
      <c r="C41" s="12">
        <v>86</v>
      </c>
      <c r="D41" s="8">
        <v>2.2000000000000002</v>
      </c>
      <c r="E41" s="12">
        <v>62</v>
      </c>
      <c r="F41" s="8">
        <v>3.48</v>
      </c>
      <c r="G41" s="12">
        <v>24</v>
      </c>
      <c r="H41" s="8">
        <v>1.1299999999999999</v>
      </c>
      <c r="I41" s="12">
        <v>0</v>
      </c>
    </row>
    <row r="42" spans="2:9" ht="15" customHeight="1" x14ac:dyDescent="0.15">
      <c r="B42" t="s">
        <v>88</v>
      </c>
      <c r="C42" s="12">
        <v>82</v>
      </c>
      <c r="D42" s="8">
        <v>2.1</v>
      </c>
      <c r="E42" s="12">
        <v>23</v>
      </c>
      <c r="F42" s="8">
        <v>1.29</v>
      </c>
      <c r="G42" s="12">
        <v>59</v>
      </c>
      <c r="H42" s="8">
        <v>2.78</v>
      </c>
      <c r="I42" s="12">
        <v>0</v>
      </c>
    </row>
    <row r="43" spans="2:9" ht="15" customHeight="1" x14ac:dyDescent="0.15">
      <c r="B43" t="s">
        <v>93</v>
      </c>
      <c r="C43" s="12">
        <v>79</v>
      </c>
      <c r="D43" s="8">
        <v>2.02</v>
      </c>
      <c r="E43" s="12">
        <v>29</v>
      </c>
      <c r="F43" s="8">
        <v>1.63</v>
      </c>
      <c r="G43" s="12">
        <v>50</v>
      </c>
      <c r="H43" s="8">
        <v>2.36</v>
      </c>
      <c r="I43" s="12">
        <v>0</v>
      </c>
    </row>
    <row r="44" spans="2:9" ht="15" customHeight="1" x14ac:dyDescent="0.15">
      <c r="B44" t="s">
        <v>98</v>
      </c>
      <c r="C44" s="12">
        <v>78</v>
      </c>
      <c r="D44" s="8">
        <v>2</v>
      </c>
      <c r="E44" s="12">
        <v>21</v>
      </c>
      <c r="F44" s="8">
        <v>1.18</v>
      </c>
      <c r="G44" s="12">
        <v>57</v>
      </c>
      <c r="H44" s="8">
        <v>2.68</v>
      </c>
      <c r="I44" s="12">
        <v>0</v>
      </c>
    </row>
    <row r="45" spans="2:9" ht="15" customHeight="1" x14ac:dyDescent="0.15">
      <c r="B45" t="s">
        <v>89</v>
      </c>
      <c r="C45" s="12">
        <v>75</v>
      </c>
      <c r="D45" s="8">
        <v>1.92</v>
      </c>
      <c r="E45" s="12">
        <v>13</v>
      </c>
      <c r="F45" s="8">
        <v>0.73</v>
      </c>
      <c r="G45" s="12">
        <v>62</v>
      </c>
      <c r="H45" s="8">
        <v>2.92</v>
      </c>
      <c r="I45" s="12">
        <v>0</v>
      </c>
    </row>
    <row r="46" spans="2:9" ht="15" customHeight="1" x14ac:dyDescent="0.15">
      <c r="B46" t="s">
        <v>101</v>
      </c>
      <c r="C46" s="12">
        <v>44</v>
      </c>
      <c r="D46" s="8">
        <v>1.1299999999999999</v>
      </c>
      <c r="E46" s="12">
        <v>15</v>
      </c>
      <c r="F46" s="8">
        <v>0.84</v>
      </c>
      <c r="G46" s="12">
        <v>29</v>
      </c>
      <c r="H46" s="8">
        <v>1.37</v>
      </c>
      <c r="I46" s="12">
        <v>0</v>
      </c>
    </row>
    <row r="47" spans="2:9" ht="15" customHeight="1" x14ac:dyDescent="0.15">
      <c r="B47" t="s">
        <v>90</v>
      </c>
      <c r="C47" s="12">
        <v>43</v>
      </c>
      <c r="D47" s="8">
        <v>1.1000000000000001</v>
      </c>
      <c r="E47" s="12">
        <v>1</v>
      </c>
      <c r="F47" s="8">
        <v>0.06</v>
      </c>
      <c r="G47" s="12">
        <v>42</v>
      </c>
      <c r="H47" s="8">
        <v>1.98</v>
      </c>
      <c r="I47" s="12">
        <v>0</v>
      </c>
    </row>
    <row r="48" spans="2:9" ht="15" customHeight="1" x14ac:dyDescent="0.15">
      <c r="B48" t="s">
        <v>108</v>
      </c>
      <c r="C48" s="12">
        <v>42</v>
      </c>
      <c r="D48" s="8">
        <v>1.08</v>
      </c>
      <c r="E48" s="12">
        <v>3</v>
      </c>
      <c r="F48" s="8">
        <v>0.17</v>
      </c>
      <c r="G48" s="12">
        <v>39</v>
      </c>
      <c r="H48" s="8">
        <v>1.84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228</v>
      </c>
      <c r="D52" s="8">
        <v>5.84</v>
      </c>
      <c r="E52" s="12">
        <v>136</v>
      </c>
      <c r="F52" s="8">
        <v>7.64</v>
      </c>
      <c r="G52" s="12">
        <v>92</v>
      </c>
      <c r="H52" s="8">
        <v>4.33</v>
      </c>
      <c r="I52" s="12">
        <v>0</v>
      </c>
    </row>
    <row r="53" spans="2:9" ht="15" customHeight="1" x14ac:dyDescent="0.15">
      <c r="B53" t="s">
        <v>150</v>
      </c>
      <c r="C53" s="12">
        <v>180</v>
      </c>
      <c r="D53" s="8">
        <v>4.6100000000000003</v>
      </c>
      <c r="E53" s="12">
        <v>124</v>
      </c>
      <c r="F53" s="8">
        <v>6.96</v>
      </c>
      <c r="G53" s="12">
        <v>56</v>
      </c>
      <c r="H53" s="8">
        <v>2.64</v>
      </c>
      <c r="I53" s="12">
        <v>0</v>
      </c>
    </row>
    <row r="54" spans="2:9" ht="15" customHeight="1" x14ac:dyDescent="0.15">
      <c r="B54" t="s">
        <v>151</v>
      </c>
      <c r="C54" s="12">
        <v>178</v>
      </c>
      <c r="D54" s="8">
        <v>4.5599999999999996</v>
      </c>
      <c r="E54" s="12">
        <v>155</v>
      </c>
      <c r="F54" s="8">
        <v>8.6999999999999993</v>
      </c>
      <c r="G54" s="12">
        <v>23</v>
      </c>
      <c r="H54" s="8">
        <v>1.08</v>
      </c>
      <c r="I54" s="12">
        <v>0</v>
      </c>
    </row>
    <row r="55" spans="2:9" ht="15" customHeight="1" x14ac:dyDescent="0.15">
      <c r="B55" t="s">
        <v>155</v>
      </c>
      <c r="C55" s="12">
        <v>161</v>
      </c>
      <c r="D55" s="8">
        <v>4.12</v>
      </c>
      <c r="E55" s="12">
        <v>113</v>
      </c>
      <c r="F55" s="8">
        <v>6.34</v>
      </c>
      <c r="G55" s="12">
        <v>48</v>
      </c>
      <c r="H55" s="8">
        <v>2.2599999999999998</v>
      </c>
      <c r="I55" s="12">
        <v>0</v>
      </c>
    </row>
    <row r="56" spans="2:9" ht="15" customHeight="1" x14ac:dyDescent="0.15">
      <c r="B56" t="s">
        <v>157</v>
      </c>
      <c r="C56" s="12">
        <v>128</v>
      </c>
      <c r="D56" s="8">
        <v>3.28</v>
      </c>
      <c r="E56" s="12">
        <v>105</v>
      </c>
      <c r="F56" s="8">
        <v>5.9</v>
      </c>
      <c r="G56" s="12">
        <v>23</v>
      </c>
      <c r="H56" s="8">
        <v>1.08</v>
      </c>
      <c r="I56" s="12">
        <v>0</v>
      </c>
    </row>
    <row r="57" spans="2:9" ht="15" customHeight="1" x14ac:dyDescent="0.15">
      <c r="B57" t="s">
        <v>146</v>
      </c>
      <c r="C57" s="12">
        <v>109</v>
      </c>
      <c r="D57" s="8">
        <v>2.79</v>
      </c>
      <c r="E57" s="12">
        <v>15</v>
      </c>
      <c r="F57" s="8">
        <v>0.84</v>
      </c>
      <c r="G57" s="12">
        <v>94</v>
      </c>
      <c r="H57" s="8">
        <v>4.43</v>
      </c>
      <c r="I57" s="12">
        <v>0</v>
      </c>
    </row>
    <row r="58" spans="2:9" ht="15" customHeight="1" x14ac:dyDescent="0.15">
      <c r="B58" t="s">
        <v>145</v>
      </c>
      <c r="C58" s="12">
        <v>103</v>
      </c>
      <c r="D58" s="8">
        <v>2.64</v>
      </c>
      <c r="E58" s="12">
        <v>55</v>
      </c>
      <c r="F58" s="8">
        <v>3.09</v>
      </c>
      <c r="G58" s="12">
        <v>48</v>
      </c>
      <c r="H58" s="8">
        <v>2.2599999999999998</v>
      </c>
      <c r="I58" s="12">
        <v>0</v>
      </c>
    </row>
    <row r="59" spans="2:9" ht="15" customHeight="1" x14ac:dyDescent="0.15">
      <c r="B59" t="s">
        <v>152</v>
      </c>
      <c r="C59" s="12">
        <v>99</v>
      </c>
      <c r="D59" s="8">
        <v>2.54</v>
      </c>
      <c r="E59" s="12">
        <v>85</v>
      </c>
      <c r="F59" s="8">
        <v>4.7699999999999996</v>
      </c>
      <c r="G59" s="12">
        <v>14</v>
      </c>
      <c r="H59" s="8">
        <v>0.66</v>
      </c>
      <c r="I59" s="12">
        <v>0</v>
      </c>
    </row>
    <row r="60" spans="2:9" ht="15" customHeight="1" x14ac:dyDescent="0.15">
      <c r="B60" t="s">
        <v>156</v>
      </c>
      <c r="C60" s="12">
        <v>96</v>
      </c>
      <c r="D60" s="8">
        <v>2.46</v>
      </c>
      <c r="E60" s="12">
        <v>70</v>
      </c>
      <c r="F60" s="8">
        <v>3.93</v>
      </c>
      <c r="G60" s="12">
        <v>26</v>
      </c>
      <c r="H60" s="8">
        <v>1.22</v>
      </c>
      <c r="I60" s="12">
        <v>0</v>
      </c>
    </row>
    <row r="61" spans="2:9" ht="15" customHeight="1" x14ac:dyDescent="0.15">
      <c r="B61" t="s">
        <v>153</v>
      </c>
      <c r="C61" s="12">
        <v>93</v>
      </c>
      <c r="D61" s="8">
        <v>2.38</v>
      </c>
      <c r="E61" s="12">
        <v>63</v>
      </c>
      <c r="F61" s="8">
        <v>3.54</v>
      </c>
      <c r="G61" s="12">
        <v>30</v>
      </c>
      <c r="H61" s="8">
        <v>1.41</v>
      </c>
      <c r="I61" s="12">
        <v>0</v>
      </c>
    </row>
    <row r="62" spans="2:9" ht="15" customHeight="1" x14ac:dyDescent="0.15">
      <c r="B62" t="s">
        <v>143</v>
      </c>
      <c r="C62" s="12">
        <v>90</v>
      </c>
      <c r="D62" s="8">
        <v>2.2999999999999998</v>
      </c>
      <c r="E62" s="12">
        <v>48</v>
      </c>
      <c r="F62" s="8">
        <v>2.7</v>
      </c>
      <c r="G62" s="12">
        <v>42</v>
      </c>
      <c r="H62" s="8">
        <v>1.98</v>
      </c>
      <c r="I62" s="12">
        <v>0</v>
      </c>
    </row>
    <row r="63" spans="2:9" ht="15" customHeight="1" x14ac:dyDescent="0.15">
      <c r="B63" t="s">
        <v>154</v>
      </c>
      <c r="C63" s="12">
        <v>89</v>
      </c>
      <c r="D63" s="8">
        <v>2.2799999999999998</v>
      </c>
      <c r="E63" s="12">
        <v>81</v>
      </c>
      <c r="F63" s="8">
        <v>4.55</v>
      </c>
      <c r="G63" s="12">
        <v>8</v>
      </c>
      <c r="H63" s="8">
        <v>0.38</v>
      </c>
      <c r="I63" s="12">
        <v>0</v>
      </c>
    </row>
    <row r="64" spans="2:9" ht="15" customHeight="1" x14ac:dyDescent="0.15">
      <c r="B64" t="s">
        <v>149</v>
      </c>
      <c r="C64" s="12">
        <v>88</v>
      </c>
      <c r="D64" s="8">
        <v>2.25</v>
      </c>
      <c r="E64" s="12">
        <v>3</v>
      </c>
      <c r="F64" s="8">
        <v>0.17</v>
      </c>
      <c r="G64" s="12">
        <v>85</v>
      </c>
      <c r="H64" s="8">
        <v>4</v>
      </c>
      <c r="I64" s="12">
        <v>0</v>
      </c>
    </row>
    <row r="65" spans="2:9" ht="15" customHeight="1" x14ac:dyDescent="0.15">
      <c r="B65" t="s">
        <v>163</v>
      </c>
      <c r="C65" s="12">
        <v>71</v>
      </c>
      <c r="D65" s="8">
        <v>1.82</v>
      </c>
      <c r="E65" s="12">
        <v>70</v>
      </c>
      <c r="F65" s="8">
        <v>3.93</v>
      </c>
      <c r="G65" s="12">
        <v>1</v>
      </c>
      <c r="H65" s="8">
        <v>0.05</v>
      </c>
      <c r="I65" s="12">
        <v>0</v>
      </c>
    </row>
    <row r="66" spans="2:9" ht="15" customHeight="1" x14ac:dyDescent="0.15">
      <c r="B66" t="s">
        <v>161</v>
      </c>
      <c r="C66" s="12">
        <v>60</v>
      </c>
      <c r="D66" s="8">
        <v>1.54</v>
      </c>
      <c r="E66" s="12">
        <v>11</v>
      </c>
      <c r="F66" s="8">
        <v>0.62</v>
      </c>
      <c r="G66" s="12">
        <v>49</v>
      </c>
      <c r="H66" s="8">
        <v>2.31</v>
      </c>
      <c r="I66" s="12">
        <v>0</v>
      </c>
    </row>
    <row r="67" spans="2:9" ht="15" customHeight="1" x14ac:dyDescent="0.15">
      <c r="B67" t="s">
        <v>142</v>
      </c>
      <c r="C67" s="12">
        <v>55</v>
      </c>
      <c r="D67" s="8">
        <v>1.41</v>
      </c>
      <c r="E67" s="12">
        <v>20</v>
      </c>
      <c r="F67" s="8">
        <v>1.1200000000000001</v>
      </c>
      <c r="G67" s="12">
        <v>35</v>
      </c>
      <c r="H67" s="8">
        <v>1.65</v>
      </c>
      <c r="I67" s="12">
        <v>0</v>
      </c>
    </row>
    <row r="68" spans="2:9" ht="15" customHeight="1" x14ac:dyDescent="0.15">
      <c r="B68" t="s">
        <v>159</v>
      </c>
      <c r="C68" s="12">
        <v>49</v>
      </c>
      <c r="D68" s="8">
        <v>1.25</v>
      </c>
      <c r="E68" s="12">
        <v>11</v>
      </c>
      <c r="F68" s="8">
        <v>0.62</v>
      </c>
      <c r="G68" s="12">
        <v>38</v>
      </c>
      <c r="H68" s="8">
        <v>1.79</v>
      </c>
      <c r="I68" s="12">
        <v>0</v>
      </c>
    </row>
    <row r="69" spans="2:9" ht="15" customHeight="1" x14ac:dyDescent="0.15">
      <c r="B69" t="s">
        <v>139</v>
      </c>
      <c r="C69" s="12">
        <v>47</v>
      </c>
      <c r="D69" s="8">
        <v>1.2</v>
      </c>
      <c r="E69" s="12">
        <v>7</v>
      </c>
      <c r="F69" s="8">
        <v>0.39</v>
      </c>
      <c r="G69" s="12">
        <v>40</v>
      </c>
      <c r="H69" s="8">
        <v>1.88</v>
      </c>
      <c r="I69" s="12">
        <v>0</v>
      </c>
    </row>
    <row r="70" spans="2:9" ht="15" customHeight="1" x14ac:dyDescent="0.15">
      <c r="B70" t="s">
        <v>141</v>
      </c>
      <c r="C70" s="12">
        <v>44</v>
      </c>
      <c r="D70" s="8">
        <v>1.1299999999999999</v>
      </c>
      <c r="E70" s="12">
        <v>3</v>
      </c>
      <c r="F70" s="8">
        <v>0.17</v>
      </c>
      <c r="G70" s="12">
        <v>41</v>
      </c>
      <c r="H70" s="8">
        <v>1.93</v>
      </c>
      <c r="I70" s="12">
        <v>0</v>
      </c>
    </row>
    <row r="71" spans="2:9" ht="15" customHeight="1" x14ac:dyDescent="0.15">
      <c r="B71" t="s">
        <v>183</v>
      </c>
      <c r="C71" s="12">
        <v>36</v>
      </c>
      <c r="D71" s="8">
        <v>0.92</v>
      </c>
      <c r="E71" s="12">
        <v>22</v>
      </c>
      <c r="F71" s="8">
        <v>1.24</v>
      </c>
      <c r="G71" s="12">
        <v>14</v>
      </c>
      <c r="H71" s="8">
        <v>0.66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440</v>
      </c>
      <c r="D6" s="8">
        <v>13.31</v>
      </c>
      <c r="E6" s="12">
        <v>79</v>
      </c>
      <c r="F6" s="8">
        <v>6.28</v>
      </c>
      <c r="G6" s="12">
        <v>361</v>
      </c>
      <c r="H6" s="8">
        <v>17.64</v>
      </c>
      <c r="I6" s="12">
        <v>0</v>
      </c>
    </row>
    <row r="7" spans="2:9" ht="15" customHeight="1" x14ac:dyDescent="0.15">
      <c r="B7" t="s">
        <v>64</v>
      </c>
      <c r="C7" s="12">
        <v>489</v>
      </c>
      <c r="D7" s="8">
        <v>14.79</v>
      </c>
      <c r="E7" s="12">
        <v>98</v>
      </c>
      <c r="F7" s="8">
        <v>7.79</v>
      </c>
      <c r="G7" s="12">
        <v>391</v>
      </c>
      <c r="H7" s="8">
        <v>19.100000000000001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59</v>
      </c>
      <c r="D9" s="8">
        <v>1.78</v>
      </c>
      <c r="E9" s="12">
        <v>1</v>
      </c>
      <c r="F9" s="8">
        <v>0.08</v>
      </c>
      <c r="G9" s="12">
        <v>58</v>
      </c>
      <c r="H9" s="8">
        <v>2.83</v>
      </c>
      <c r="I9" s="12">
        <v>0</v>
      </c>
    </row>
    <row r="10" spans="2:9" ht="15" customHeight="1" x14ac:dyDescent="0.15">
      <c r="B10" t="s">
        <v>67</v>
      </c>
      <c r="C10" s="12">
        <v>40</v>
      </c>
      <c r="D10" s="8">
        <v>1.21</v>
      </c>
      <c r="E10" s="12">
        <v>19</v>
      </c>
      <c r="F10" s="8">
        <v>1.51</v>
      </c>
      <c r="G10" s="12">
        <v>21</v>
      </c>
      <c r="H10" s="8">
        <v>1.03</v>
      </c>
      <c r="I10" s="12">
        <v>0</v>
      </c>
    </row>
    <row r="11" spans="2:9" ht="15" customHeight="1" x14ac:dyDescent="0.15">
      <c r="B11" t="s">
        <v>68</v>
      </c>
      <c r="C11" s="12">
        <v>543</v>
      </c>
      <c r="D11" s="8">
        <v>16.420000000000002</v>
      </c>
      <c r="E11" s="12">
        <v>162</v>
      </c>
      <c r="F11" s="8">
        <v>12.88</v>
      </c>
      <c r="G11" s="12">
        <v>381</v>
      </c>
      <c r="H11" s="8">
        <v>18.61</v>
      </c>
      <c r="I11" s="12">
        <v>0</v>
      </c>
    </row>
    <row r="12" spans="2:9" ht="15" customHeight="1" x14ac:dyDescent="0.15">
      <c r="B12" t="s">
        <v>69</v>
      </c>
      <c r="C12" s="12">
        <v>15</v>
      </c>
      <c r="D12" s="8">
        <v>0.45</v>
      </c>
      <c r="E12" s="12">
        <v>2</v>
      </c>
      <c r="F12" s="8">
        <v>0.16</v>
      </c>
      <c r="G12" s="12">
        <v>13</v>
      </c>
      <c r="H12" s="8">
        <v>0.64</v>
      </c>
      <c r="I12" s="12">
        <v>0</v>
      </c>
    </row>
    <row r="13" spans="2:9" ht="15" customHeight="1" x14ac:dyDescent="0.15">
      <c r="B13" t="s">
        <v>70</v>
      </c>
      <c r="C13" s="12">
        <v>559</v>
      </c>
      <c r="D13" s="8">
        <v>16.899999999999999</v>
      </c>
      <c r="E13" s="12">
        <v>216</v>
      </c>
      <c r="F13" s="8">
        <v>17.170000000000002</v>
      </c>
      <c r="G13" s="12">
        <v>343</v>
      </c>
      <c r="H13" s="8">
        <v>16.760000000000002</v>
      </c>
      <c r="I13" s="12">
        <v>0</v>
      </c>
    </row>
    <row r="14" spans="2:9" ht="15" customHeight="1" x14ac:dyDescent="0.15">
      <c r="B14" t="s">
        <v>71</v>
      </c>
      <c r="C14" s="12">
        <v>123</v>
      </c>
      <c r="D14" s="8">
        <v>3.72</v>
      </c>
      <c r="E14" s="12">
        <v>45</v>
      </c>
      <c r="F14" s="8">
        <v>3.58</v>
      </c>
      <c r="G14" s="12">
        <v>78</v>
      </c>
      <c r="H14" s="8">
        <v>3.81</v>
      </c>
      <c r="I14" s="12">
        <v>0</v>
      </c>
    </row>
    <row r="15" spans="2:9" ht="15" customHeight="1" x14ac:dyDescent="0.15">
      <c r="B15" t="s">
        <v>72</v>
      </c>
      <c r="C15" s="12">
        <v>360</v>
      </c>
      <c r="D15" s="8">
        <v>10.89</v>
      </c>
      <c r="E15" s="12">
        <v>263</v>
      </c>
      <c r="F15" s="8">
        <v>20.91</v>
      </c>
      <c r="G15" s="12">
        <v>97</v>
      </c>
      <c r="H15" s="8">
        <v>4.74</v>
      </c>
      <c r="I15" s="12">
        <v>0</v>
      </c>
    </row>
    <row r="16" spans="2:9" ht="15" customHeight="1" x14ac:dyDescent="0.15">
      <c r="B16" t="s">
        <v>73</v>
      </c>
      <c r="C16" s="12">
        <v>328</v>
      </c>
      <c r="D16" s="8">
        <v>9.92</v>
      </c>
      <c r="E16" s="12">
        <v>202</v>
      </c>
      <c r="F16" s="8">
        <v>16.059999999999999</v>
      </c>
      <c r="G16" s="12">
        <v>126</v>
      </c>
      <c r="H16" s="8">
        <v>6.16</v>
      </c>
      <c r="I16" s="12">
        <v>0</v>
      </c>
    </row>
    <row r="17" spans="2:9" ht="15" customHeight="1" x14ac:dyDescent="0.15">
      <c r="B17" t="s">
        <v>74</v>
      </c>
      <c r="C17" s="12">
        <v>88</v>
      </c>
      <c r="D17" s="8">
        <v>2.66</v>
      </c>
      <c r="E17" s="12">
        <v>54</v>
      </c>
      <c r="F17" s="8">
        <v>4.29</v>
      </c>
      <c r="G17" s="12">
        <v>33</v>
      </c>
      <c r="H17" s="8">
        <v>1.61</v>
      </c>
      <c r="I17" s="12">
        <v>1</v>
      </c>
    </row>
    <row r="18" spans="2:9" ht="15" customHeight="1" x14ac:dyDescent="0.15">
      <c r="B18" t="s">
        <v>75</v>
      </c>
      <c r="C18" s="12">
        <v>161</v>
      </c>
      <c r="D18" s="8">
        <v>4.87</v>
      </c>
      <c r="E18" s="12">
        <v>93</v>
      </c>
      <c r="F18" s="8">
        <v>7.39</v>
      </c>
      <c r="G18" s="12">
        <v>67</v>
      </c>
      <c r="H18" s="8">
        <v>3.27</v>
      </c>
      <c r="I18" s="12">
        <v>1</v>
      </c>
    </row>
    <row r="19" spans="2:9" ht="15" customHeight="1" x14ac:dyDescent="0.15">
      <c r="B19" t="s">
        <v>76</v>
      </c>
      <c r="C19" s="12">
        <v>102</v>
      </c>
      <c r="D19" s="8">
        <v>3.08</v>
      </c>
      <c r="E19" s="12">
        <v>24</v>
      </c>
      <c r="F19" s="8">
        <v>1.91</v>
      </c>
      <c r="G19" s="12">
        <v>78</v>
      </c>
      <c r="H19" s="8">
        <v>3.81</v>
      </c>
      <c r="I19" s="12">
        <v>0</v>
      </c>
    </row>
    <row r="20" spans="2:9" ht="15" customHeight="1" x14ac:dyDescent="0.15">
      <c r="B20" s="9" t="s">
        <v>216</v>
      </c>
      <c r="C20" s="12">
        <f>SUM(LTBL_14134[総数／事業所数])</f>
        <v>3307</v>
      </c>
      <c r="E20" s="12">
        <f>SUBTOTAL(109,LTBL_14134[個人／事業所数])</f>
        <v>1258</v>
      </c>
      <c r="G20" s="12">
        <f>SUBTOTAL(109,LTBL_14134[法人／事業所数])</f>
        <v>2047</v>
      </c>
      <c r="I20" s="12">
        <f>SUBTOTAL(109,LTBL_14134[法人以外の団体／事業所数])</f>
        <v>2</v>
      </c>
    </row>
    <row r="21" spans="2:9" ht="15" customHeight="1" x14ac:dyDescent="0.15">
      <c r="E21" s="11">
        <f>LTBL_14134[[#Totals],[個人／事業所数]]/LTBL_14134[[#Totals],[総数／事業所数]]</f>
        <v>0.38040520108859993</v>
      </c>
      <c r="G21" s="11">
        <f>LTBL_14134[[#Totals],[法人／事業所数]]/LTBL_14134[[#Totals],[総数／事業所数]]</f>
        <v>0.61899002116722102</v>
      </c>
      <c r="I21" s="11">
        <f>LTBL_14134[[#Totals],[法人以外の団体／事業所数]]/LTBL_14134[[#Totals],[総数／事業所数]]</f>
        <v>6.0477774417901423E-4</v>
      </c>
    </row>
    <row r="23" spans="2:9" ht="33" customHeight="1" x14ac:dyDescent="0.15">
      <c r="B23" t="s">
        <v>215</v>
      </c>
      <c r="C23" s="10" t="s">
        <v>78</v>
      </c>
      <c r="D23" s="10" t="s">
        <v>310</v>
      </c>
      <c r="E23" s="10" t="s">
        <v>80</v>
      </c>
      <c r="F23" s="10" t="s">
        <v>311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11</v>
      </c>
      <c r="D24" t="s">
        <v>217</v>
      </c>
      <c r="E24">
        <v>0</v>
      </c>
      <c r="F24" t="s">
        <v>219</v>
      </c>
      <c r="G24">
        <v>11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481</v>
      </c>
      <c r="D29" s="8">
        <v>14.54</v>
      </c>
      <c r="E29" s="12">
        <v>210</v>
      </c>
      <c r="F29" s="8">
        <v>16.690000000000001</v>
      </c>
      <c r="G29" s="12">
        <v>271</v>
      </c>
      <c r="H29" s="8">
        <v>13.24</v>
      </c>
      <c r="I29" s="12">
        <v>0</v>
      </c>
    </row>
    <row r="30" spans="2:9" ht="15" customHeight="1" x14ac:dyDescent="0.15">
      <c r="B30" t="s">
        <v>99</v>
      </c>
      <c r="C30" s="12">
        <v>329</v>
      </c>
      <c r="D30" s="8">
        <v>9.9499999999999993</v>
      </c>
      <c r="E30" s="12">
        <v>262</v>
      </c>
      <c r="F30" s="8">
        <v>20.83</v>
      </c>
      <c r="G30" s="12">
        <v>67</v>
      </c>
      <c r="H30" s="8">
        <v>3.27</v>
      </c>
      <c r="I30" s="12">
        <v>0</v>
      </c>
    </row>
    <row r="31" spans="2:9" ht="15" customHeight="1" x14ac:dyDescent="0.15">
      <c r="B31" t="s">
        <v>100</v>
      </c>
      <c r="C31" s="12">
        <v>277</v>
      </c>
      <c r="D31" s="8">
        <v>8.3800000000000008</v>
      </c>
      <c r="E31" s="12">
        <v>189</v>
      </c>
      <c r="F31" s="8">
        <v>15.02</v>
      </c>
      <c r="G31" s="12">
        <v>88</v>
      </c>
      <c r="H31" s="8">
        <v>4.3</v>
      </c>
      <c r="I31" s="12">
        <v>0</v>
      </c>
    </row>
    <row r="32" spans="2:9" ht="15" customHeight="1" x14ac:dyDescent="0.15">
      <c r="B32" t="s">
        <v>86</v>
      </c>
      <c r="C32" s="12">
        <v>186</v>
      </c>
      <c r="D32" s="8">
        <v>5.62</v>
      </c>
      <c r="E32" s="12">
        <v>50</v>
      </c>
      <c r="F32" s="8">
        <v>3.97</v>
      </c>
      <c r="G32" s="12">
        <v>136</v>
      </c>
      <c r="H32" s="8">
        <v>6.64</v>
      </c>
      <c r="I32" s="12">
        <v>0</v>
      </c>
    </row>
    <row r="33" spans="2:9" ht="15" customHeight="1" x14ac:dyDescent="0.15">
      <c r="B33" t="s">
        <v>94</v>
      </c>
      <c r="C33" s="12">
        <v>160</v>
      </c>
      <c r="D33" s="8">
        <v>4.84</v>
      </c>
      <c r="E33" s="12">
        <v>55</v>
      </c>
      <c r="F33" s="8">
        <v>4.37</v>
      </c>
      <c r="G33" s="12">
        <v>105</v>
      </c>
      <c r="H33" s="8">
        <v>5.13</v>
      </c>
      <c r="I33" s="12">
        <v>0</v>
      </c>
    </row>
    <row r="34" spans="2:9" ht="15" customHeight="1" x14ac:dyDescent="0.15">
      <c r="B34" t="s">
        <v>85</v>
      </c>
      <c r="C34" s="12">
        <v>142</v>
      </c>
      <c r="D34" s="8">
        <v>4.29</v>
      </c>
      <c r="E34" s="12">
        <v>19</v>
      </c>
      <c r="F34" s="8">
        <v>1.51</v>
      </c>
      <c r="G34" s="12">
        <v>123</v>
      </c>
      <c r="H34" s="8">
        <v>6.01</v>
      </c>
      <c r="I34" s="12">
        <v>0</v>
      </c>
    </row>
    <row r="35" spans="2:9" ht="15" customHeight="1" x14ac:dyDescent="0.15">
      <c r="B35" t="s">
        <v>103</v>
      </c>
      <c r="C35" s="12">
        <v>116</v>
      </c>
      <c r="D35" s="8">
        <v>3.51</v>
      </c>
      <c r="E35" s="12">
        <v>90</v>
      </c>
      <c r="F35" s="8">
        <v>7.15</v>
      </c>
      <c r="G35" s="12">
        <v>26</v>
      </c>
      <c r="H35" s="8">
        <v>1.27</v>
      </c>
      <c r="I35" s="12">
        <v>0</v>
      </c>
    </row>
    <row r="36" spans="2:9" ht="15" customHeight="1" x14ac:dyDescent="0.15">
      <c r="B36" t="s">
        <v>87</v>
      </c>
      <c r="C36" s="12">
        <v>112</v>
      </c>
      <c r="D36" s="8">
        <v>3.39</v>
      </c>
      <c r="E36" s="12">
        <v>10</v>
      </c>
      <c r="F36" s="8">
        <v>0.79</v>
      </c>
      <c r="G36" s="12">
        <v>102</v>
      </c>
      <c r="H36" s="8">
        <v>4.9800000000000004</v>
      </c>
      <c r="I36" s="12">
        <v>0</v>
      </c>
    </row>
    <row r="37" spans="2:9" ht="15" customHeight="1" x14ac:dyDescent="0.15">
      <c r="B37" t="s">
        <v>92</v>
      </c>
      <c r="C37" s="12">
        <v>107</v>
      </c>
      <c r="D37" s="8">
        <v>3.24</v>
      </c>
      <c r="E37" s="12">
        <v>51</v>
      </c>
      <c r="F37" s="8">
        <v>4.05</v>
      </c>
      <c r="G37" s="12">
        <v>56</v>
      </c>
      <c r="H37" s="8">
        <v>2.74</v>
      </c>
      <c r="I37" s="12">
        <v>0</v>
      </c>
    </row>
    <row r="38" spans="2:9" ht="15" customHeight="1" x14ac:dyDescent="0.15">
      <c r="B38" t="s">
        <v>88</v>
      </c>
      <c r="C38" s="12">
        <v>106</v>
      </c>
      <c r="D38" s="8">
        <v>3.21</v>
      </c>
      <c r="E38" s="12">
        <v>28</v>
      </c>
      <c r="F38" s="8">
        <v>2.23</v>
      </c>
      <c r="G38" s="12">
        <v>78</v>
      </c>
      <c r="H38" s="8">
        <v>3.81</v>
      </c>
      <c r="I38" s="12">
        <v>0</v>
      </c>
    </row>
    <row r="39" spans="2:9" ht="15" customHeight="1" x14ac:dyDescent="0.15">
      <c r="B39" t="s">
        <v>89</v>
      </c>
      <c r="C39" s="12">
        <v>99</v>
      </c>
      <c r="D39" s="8">
        <v>2.99</v>
      </c>
      <c r="E39" s="12">
        <v>19</v>
      </c>
      <c r="F39" s="8">
        <v>1.51</v>
      </c>
      <c r="G39" s="12">
        <v>80</v>
      </c>
      <c r="H39" s="8">
        <v>3.91</v>
      </c>
      <c r="I39" s="12">
        <v>0</v>
      </c>
    </row>
    <row r="40" spans="2:9" ht="15" customHeight="1" x14ac:dyDescent="0.15">
      <c r="B40" t="s">
        <v>102</v>
      </c>
      <c r="C40" s="12">
        <v>88</v>
      </c>
      <c r="D40" s="8">
        <v>2.66</v>
      </c>
      <c r="E40" s="12">
        <v>54</v>
      </c>
      <c r="F40" s="8">
        <v>4.29</v>
      </c>
      <c r="G40" s="12">
        <v>33</v>
      </c>
      <c r="H40" s="8">
        <v>1.61</v>
      </c>
      <c r="I40" s="12">
        <v>1</v>
      </c>
    </row>
    <row r="41" spans="2:9" ht="15" customHeight="1" x14ac:dyDescent="0.15">
      <c r="B41" t="s">
        <v>91</v>
      </c>
      <c r="C41" s="12">
        <v>76</v>
      </c>
      <c r="D41" s="8">
        <v>2.2999999999999998</v>
      </c>
      <c r="E41" s="12">
        <v>23</v>
      </c>
      <c r="F41" s="8">
        <v>1.83</v>
      </c>
      <c r="G41" s="12">
        <v>53</v>
      </c>
      <c r="H41" s="8">
        <v>2.59</v>
      </c>
      <c r="I41" s="12">
        <v>0</v>
      </c>
    </row>
    <row r="42" spans="2:9" ht="15" customHeight="1" x14ac:dyDescent="0.15">
      <c r="B42" t="s">
        <v>95</v>
      </c>
      <c r="C42" s="12">
        <v>66</v>
      </c>
      <c r="D42" s="8">
        <v>2</v>
      </c>
      <c r="E42" s="12">
        <v>5</v>
      </c>
      <c r="F42" s="8">
        <v>0.4</v>
      </c>
      <c r="G42" s="12">
        <v>61</v>
      </c>
      <c r="H42" s="8">
        <v>2.98</v>
      </c>
      <c r="I42" s="12">
        <v>0</v>
      </c>
    </row>
    <row r="43" spans="2:9" ht="15" customHeight="1" x14ac:dyDescent="0.15">
      <c r="B43" t="s">
        <v>93</v>
      </c>
      <c r="C43" s="12">
        <v>64</v>
      </c>
      <c r="D43" s="8">
        <v>1.94</v>
      </c>
      <c r="E43" s="12">
        <v>20</v>
      </c>
      <c r="F43" s="8">
        <v>1.59</v>
      </c>
      <c r="G43" s="12">
        <v>44</v>
      </c>
      <c r="H43" s="8">
        <v>2.15</v>
      </c>
      <c r="I43" s="12">
        <v>0</v>
      </c>
    </row>
    <row r="44" spans="2:9" ht="15" customHeight="1" x14ac:dyDescent="0.15">
      <c r="B44" t="s">
        <v>97</v>
      </c>
      <c r="C44" s="12">
        <v>59</v>
      </c>
      <c r="D44" s="8">
        <v>1.78</v>
      </c>
      <c r="E44" s="12">
        <v>28</v>
      </c>
      <c r="F44" s="8">
        <v>2.23</v>
      </c>
      <c r="G44" s="12">
        <v>31</v>
      </c>
      <c r="H44" s="8">
        <v>1.51</v>
      </c>
      <c r="I44" s="12">
        <v>0</v>
      </c>
    </row>
    <row r="45" spans="2:9" ht="15" customHeight="1" x14ac:dyDescent="0.15">
      <c r="B45" t="s">
        <v>98</v>
      </c>
      <c r="C45" s="12">
        <v>54</v>
      </c>
      <c r="D45" s="8">
        <v>1.63</v>
      </c>
      <c r="E45" s="12">
        <v>16</v>
      </c>
      <c r="F45" s="8">
        <v>1.27</v>
      </c>
      <c r="G45" s="12">
        <v>38</v>
      </c>
      <c r="H45" s="8">
        <v>1.86</v>
      </c>
      <c r="I45" s="12">
        <v>0</v>
      </c>
    </row>
    <row r="46" spans="2:9" ht="15" customHeight="1" x14ac:dyDescent="0.15">
      <c r="B46" t="s">
        <v>119</v>
      </c>
      <c r="C46" s="12">
        <v>50</v>
      </c>
      <c r="D46" s="8">
        <v>1.51</v>
      </c>
      <c r="E46" s="12">
        <v>2</v>
      </c>
      <c r="F46" s="8">
        <v>0.16</v>
      </c>
      <c r="G46" s="12">
        <v>48</v>
      </c>
      <c r="H46" s="8">
        <v>2.34</v>
      </c>
      <c r="I46" s="12">
        <v>0</v>
      </c>
    </row>
    <row r="47" spans="2:9" ht="15" customHeight="1" x14ac:dyDescent="0.15">
      <c r="B47" t="s">
        <v>108</v>
      </c>
      <c r="C47" s="12">
        <v>45</v>
      </c>
      <c r="D47" s="8">
        <v>1.36</v>
      </c>
      <c r="E47" s="12">
        <v>3</v>
      </c>
      <c r="F47" s="8">
        <v>0.24</v>
      </c>
      <c r="G47" s="12">
        <v>41</v>
      </c>
      <c r="H47" s="8">
        <v>2</v>
      </c>
      <c r="I47" s="12">
        <v>1</v>
      </c>
    </row>
    <row r="48" spans="2:9" ht="15" customHeight="1" x14ac:dyDescent="0.15">
      <c r="B48" t="s">
        <v>104</v>
      </c>
      <c r="C48" s="12">
        <v>38</v>
      </c>
      <c r="D48" s="8">
        <v>1.1499999999999999</v>
      </c>
      <c r="E48" s="12">
        <v>0</v>
      </c>
      <c r="F48" s="8">
        <v>0</v>
      </c>
      <c r="G48" s="12">
        <v>38</v>
      </c>
      <c r="H48" s="8">
        <v>1.86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313</v>
      </c>
      <c r="D52" s="8">
        <v>9.4600000000000009</v>
      </c>
      <c r="E52" s="12">
        <v>191</v>
      </c>
      <c r="F52" s="8">
        <v>15.18</v>
      </c>
      <c r="G52" s="12">
        <v>122</v>
      </c>
      <c r="H52" s="8">
        <v>5.96</v>
      </c>
      <c r="I52" s="12">
        <v>0</v>
      </c>
    </row>
    <row r="53" spans="2:9" ht="15" customHeight="1" x14ac:dyDescent="0.15">
      <c r="B53" t="s">
        <v>149</v>
      </c>
      <c r="C53" s="12">
        <v>114</v>
      </c>
      <c r="D53" s="8">
        <v>3.45</v>
      </c>
      <c r="E53" s="12">
        <v>4</v>
      </c>
      <c r="F53" s="8">
        <v>0.32</v>
      </c>
      <c r="G53" s="12">
        <v>110</v>
      </c>
      <c r="H53" s="8">
        <v>5.37</v>
      </c>
      <c r="I53" s="12">
        <v>0</v>
      </c>
    </row>
    <row r="54" spans="2:9" ht="15" customHeight="1" x14ac:dyDescent="0.15">
      <c r="B54" t="s">
        <v>151</v>
      </c>
      <c r="C54" s="12">
        <v>114</v>
      </c>
      <c r="D54" s="8">
        <v>3.45</v>
      </c>
      <c r="E54" s="12">
        <v>100</v>
      </c>
      <c r="F54" s="8">
        <v>7.95</v>
      </c>
      <c r="G54" s="12">
        <v>14</v>
      </c>
      <c r="H54" s="8">
        <v>0.68</v>
      </c>
      <c r="I54" s="12">
        <v>0</v>
      </c>
    </row>
    <row r="55" spans="2:9" ht="15" customHeight="1" x14ac:dyDescent="0.15">
      <c r="B55" t="s">
        <v>155</v>
      </c>
      <c r="C55" s="12">
        <v>113</v>
      </c>
      <c r="D55" s="8">
        <v>3.42</v>
      </c>
      <c r="E55" s="12">
        <v>81</v>
      </c>
      <c r="F55" s="8">
        <v>6.44</v>
      </c>
      <c r="G55" s="12">
        <v>32</v>
      </c>
      <c r="H55" s="8">
        <v>1.56</v>
      </c>
      <c r="I55" s="12">
        <v>0</v>
      </c>
    </row>
    <row r="56" spans="2:9" ht="15" customHeight="1" x14ac:dyDescent="0.15">
      <c r="B56" t="s">
        <v>150</v>
      </c>
      <c r="C56" s="12">
        <v>87</v>
      </c>
      <c r="D56" s="8">
        <v>2.63</v>
      </c>
      <c r="E56" s="12">
        <v>61</v>
      </c>
      <c r="F56" s="8">
        <v>4.8499999999999996</v>
      </c>
      <c r="G56" s="12">
        <v>26</v>
      </c>
      <c r="H56" s="8">
        <v>1.27</v>
      </c>
      <c r="I56" s="12">
        <v>0</v>
      </c>
    </row>
    <row r="57" spans="2:9" ht="15" customHeight="1" x14ac:dyDescent="0.15">
      <c r="B57" t="s">
        <v>157</v>
      </c>
      <c r="C57" s="12">
        <v>76</v>
      </c>
      <c r="D57" s="8">
        <v>2.2999999999999998</v>
      </c>
      <c r="E57" s="12">
        <v>59</v>
      </c>
      <c r="F57" s="8">
        <v>4.6900000000000004</v>
      </c>
      <c r="G57" s="12">
        <v>17</v>
      </c>
      <c r="H57" s="8">
        <v>0.83</v>
      </c>
      <c r="I57" s="12">
        <v>0</v>
      </c>
    </row>
    <row r="58" spans="2:9" ht="15" customHeight="1" x14ac:dyDescent="0.15">
      <c r="B58" t="s">
        <v>154</v>
      </c>
      <c r="C58" s="12">
        <v>75</v>
      </c>
      <c r="D58" s="8">
        <v>2.27</v>
      </c>
      <c r="E58" s="12">
        <v>66</v>
      </c>
      <c r="F58" s="8">
        <v>5.25</v>
      </c>
      <c r="G58" s="12">
        <v>9</v>
      </c>
      <c r="H58" s="8">
        <v>0.44</v>
      </c>
      <c r="I58" s="12">
        <v>0</v>
      </c>
    </row>
    <row r="59" spans="2:9" ht="15" customHeight="1" x14ac:dyDescent="0.15">
      <c r="B59" t="s">
        <v>153</v>
      </c>
      <c r="C59" s="12">
        <v>70</v>
      </c>
      <c r="D59" s="8">
        <v>2.12</v>
      </c>
      <c r="E59" s="12">
        <v>34</v>
      </c>
      <c r="F59" s="8">
        <v>2.7</v>
      </c>
      <c r="G59" s="12">
        <v>36</v>
      </c>
      <c r="H59" s="8">
        <v>1.76</v>
      </c>
      <c r="I59" s="12">
        <v>0</v>
      </c>
    </row>
    <row r="60" spans="2:9" ht="15" customHeight="1" x14ac:dyDescent="0.15">
      <c r="B60" t="s">
        <v>156</v>
      </c>
      <c r="C60" s="12">
        <v>63</v>
      </c>
      <c r="D60" s="8">
        <v>1.91</v>
      </c>
      <c r="E60" s="12">
        <v>46</v>
      </c>
      <c r="F60" s="8">
        <v>3.66</v>
      </c>
      <c r="G60" s="12">
        <v>16</v>
      </c>
      <c r="H60" s="8">
        <v>0.78</v>
      </c>
      <c r="I60" s="12">
        <v>1</v>
      </c>
    </row>
    <row r="61" spans="2:9" ht="15" customHeight="1" x14ac:dyDescent="0.15">
      <c r="B61" t="s">
        <v>152</v>
      </c>
      <c r="C61" s="12">
        <v>58</v>
      </c>
      <c r="D61" s="8">
        <v>1.75</v>
      </c>
      <c r="E61" s="12">
        <v>54</v>
      </c>
      <c r="F61" s="8">
        <v>4.29</v>
      </c>
      <c r="G61" s="12">
        <v>4</v>
      </c>
      <c r="H61" s="8">
        <v>0.2</v>
      </c>
      <c r="I61" s="12">
        <v>0</v>
      </c>
    </row>
    <row r="62" spans="2:9" ht="15" customHeight="1" x14ac:dyDescent="0.15">
      <c r="B62" t="s">
        <v>145</v>
      </c>
      <c r="C62" s="12">
        <v>56</v>
      </c>
      <c r="D62" s="8">
        <v>1.69</v>
      </c>
      <c r="E62" s="12">
        <v>24</v>
      </c>
      <c r="F62" s="8">
        <v>1.91</v>
      </c>
      <c r="G62" s="12">
        <v>32</v>
      </c>
      <c r="H62" s="8">
        <v>1.56</v>
      </c>
      <c r="I62" s="12">
        <v>0</v>
      </c>
    </row>
    <row r="63" spans="2:9" ht="15" customHeight="1" x14ac:dyDescent="0.15">
      <c r="B63" t="s">
        <v>146</v>
      </c>
      <c r="C63" s="12">
        <v>46</v>
      </c>
      <c r="D63" s="8">
        <v>1.39</v>
      </c>
      <c r="E63" s="12">
        <v>4</v>
      </c>
      <c r="F63" s="8">
        <v>0.32</v>
      </c>
      <c r="G63" s="12">
        <v>42</v>
      </c>
      <c r="H63" s="8">
        <v>2.0499999999999998</v>
      </c>
      <c r="I63" s="12">
        <v>0</v>
      </c>
    </row>
    <row r="64" spans="2:9" ht="15" customHeight="1" x14ac:dyDescent="0.15">
      <c r="B64" t="s">
        <v>177</v>
      </c>
      <c r="C64" s="12">
        <v>45</v>
      </c>
      <c r="D64" s="8">
        <v>1.36</v>
      </c>
      <c r="E64" s="12">
        <v>11</v>
      </c>
      <c r="F64" s="8">
        <v>0.87</v>
      </c>
      <c r="G64" s="12">
        <v>34</v>
      </c>
      <c r="H64" s="8">
        <v>1.66</v>
      </c>
      <c r="I64" s="12">
        <v>0</v>
      </c>
    </row>
    <row r="65" spans="2:9" ht="15" customHeight="1" x14ac:dyDescent="0.15">
      <c r="B65" t="s">
        <v>143</v>
      </c>
      <c r="C65" s="12">
        <v>45</v>
      </c>
      <c r="D65" s="8">
        <v>1.36</v>
      </c>
      <c r="E65" s="12">
        <v>19</v>
      </c>
      <c r="F65" s="8">
        <v>1.51</v>
      </c>
      <c r="G65" s="12">
        <v>26</v>
      </c>
      <c r="H65" s="8">
        <v>1.27</v>
      </c>
      <c r="I65" s="12">
        <v>0</v>
      </c>
    </row>
    <row r="66" spans="2:9" ht="15" customHeight="1" x14ac:dyDescent="0.15">
      <c r="B66" t="s">
        <v>140</v>
      </c>
      <c r="C66" s="12">
        <v>43</v>
      </c>
      <c r="D66" s="8">
        <v>1.3</v>
      </c>
      <c r="E66" s="12">
        <v>8</v>
      </c>
      <c r="F66" s="8">
        <v>0.64</v>
      </c>
      <c r="G66" s="12">
        <v>35</v>
      </c>
      <c r="H66" s="8">
        <v>1.71</v>
      </c>
      <c r="I66" s="12">
        <v>0</v>
      </c>
    </row>
    <row r="67" spans="2:9" ht="15" customHeight="1" x14ac:dyDescent="0.15">
      <c r="B67" t="s">
        <v>141</v>
      </c>
      <c r="C67" s="12">
        <v>43</v>
      </c>
      <c r="D67" s="8">
        <v>1.3</v>
      </c>
      <c r="E67" s="12">
        <v>2</v>
      </c>
      <c r="F67" s="8">
        <v>0.16</v>
      </c>
      <c r="G67" s="12">
        <v>41</v>
      </c>
      <c r="H67" s="8">
        <v>2</v>
      </c>
      <c r="I67" s="12">
        <v>0</v>
      </c>
    </row>
    <row r="68" spans="2:9" ht="15" customHeight="1" x14ac:dyDescent="0.15">
      <c r="B68" t="s">
        <v>158</v>
      </c>
      <c r="C68" s="12">
        <v>42</v>
      </c>
      <c r="D68" s="8">
        <v>1.27</v>
      </c>
      <c r="E68" s="12">
        <v>5</v>
      </c>
      <c r="F68" s="8">
        <v>0.4</v>
      </c>
      <c r="G68" s="12">
        <v>37</v>
      </c>
      <c r="H68" s="8">
        <v>1.81</v>
      </c>
      <c r="I68" s="12">
        <v>0</v>
      </c>
    </row>
    <row r="69" spans="2:9" ht="15" customHeight="1" x14ac:dyDescent="0.15">
      <c r="B69" t="s">
        <v>142</v>
      </c>
      <c r="C69" s="12">
        <v>40</v>
      </c>
      <c r="D69" s="8">
        <v>1.21</v>
      </c>
      <c r="E69" s="12">
        <v>14</v>
      </c>
      <c r="F69" s="8">
        <v>1.1100000000000001</v>
      </c>
      <c r="G69" s="12">
        <v>26</v>
      </c>
      <c r="H69" s="8">
        <v>1.27</v>
      </c>
      <c r="I69" s="12">
        <v>0</v>
      </c>
    </row>
    <row r="70" spans="2:9" ht="15" customHeight="1" x14ac:dyDescent="0.15">
      <c r="B70" t="s">
        <v>171</v>
      </c>
      <c r="C70" s="12">
        <v>35</v>
      </c>
      <c r="D70" s="8">
        <v>1.06</v>
      </c>
      <c r="E70" s="12">
        <v>11</v>
      </c>
      <c r="F70" s="8">
        <v>0.87</v>
      </c>
      <c r="G70" s="12">
        <v>24</v>
      </c>
      <c r="H70" s="8">
        <v>1.17</v>
      </c>
      <c r="I70" s="12">
        <v>0</v>
      </c>
    </row>
    <row r="71" spans="2:9" ht="15" customHeight="1" x14ac:dyDescent="0.15">
      <c r="B71" t="s">
        <v>139</v>
      </c>
      <c r="C71" s="12">
        <v>34</v>
      </c>
      <c r="D71" s="8">
        <v>1.03</v>
      </c>
      <c r="E71" s="12">
        <v>2</v>
      </c>
      <c r="F71" s="8">
        <v>0.16</v>
      </c>
      <c r="G71" s="12">
        <v>32</v>
      </c>
      <c r="H71" s="8">
        <v>1.56</v>
      </c>
      <c r="I71" s="12">
        <v>0</v>
      </c>
    </row>
    <row r="72" spans="2:9" ht="15" customHeight="1" x14ac:dyDescent="0.15">
      <c r="B72" t="s">
        <v>174</v>
      </c>
      <c r="C72" s="12">
        <v>34</v>
      </c>
      <c r="D72" s="8">
        <v>1.03</v>
      </c>
      <c r="E72" s="12">
        <v>7</v>
      </c>
      <c r="F72" s="8">
        <v>0.56000000000000005</v>
      </c>
      <c r="G72" s="12">
        <v>27</v>
      </c>
      <c r="H72" s="8">
        <v>1.32</v>
      </c>
      <c r="I72" s="12">
        <v>0</v>
      </c>
    </row>
    <row r="73" spans="2:9" ht="15" customHeight="1" x14ac:dyDescent="0.15">
      <c r="B73" t="s">
        <v>161</v>
      </c>
      <c r="C73" s="12">
        <v>34</v>
      </c>
      <c r="D73" s="8">
        <v>1.03</v>
      </c>
      <c r="E73" s="12">
        <v>8</v>
      </c>
      <c r="F73" s="8">
        <v>0.64</v>
      </c>
      <c r="G73" s="12">
        <v>26</v>
      </c>
      <c r="H73" s="8">
        <v>1.27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404</v>
      </c>
      <c r="D6" s="8">
        <v>14.15</v>
      </c>
      <c r="E6" s="12">
        <v>82</v>
      </c>
      <c r="F6" s="8">
        <v>6.28</v>
      </c>
      <c r="G6" s="12">
        <v>322</v>
      </c>
      <c r="H6" s="8">
        <v>20.81</v>
      </c>
      <c r="I6" s="12">
        <v>0</v>
      </c>
    </row>
    <row r="7" spans="2:9" ht="15" customHeight="1" x14ac:dyDescent="0.15">
      <c r="B7" t="s">
        <v>64</v>
      </c>
      <c r="C7" s="12">
        <v>148</v>
      </c>
      <c r="D7" s="8">
        <v>5.18</v>
      </c>
      <c r="E7" s="12">
        <v>38</v>
      </c>
      <c r="F7" s="8">
        <v>2.91</v>
      </c>
      <c r="G7" s="12">
        <v>110</v>
      </c>
      <c r="H7" s="8">
        <v>7.11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47</v>
      </c>
      <c r="D9" s="8">
        <v>1.65</v>
      </c>
      <c r="E9" s="12">
        <v>0</v>
      </c>
      <c r="F9" s="8">
        <v>0</v>
      </c>
      <c r="G9" s="12">
        <v>47</v>
      </c>
      <c r="H9" s="8">
        <v>3.04</v>
      </c>
      <c r="I9" s="12">
        <v>0</v>
      </c>
    </row>
    <row r="10" spans="2:9" ht="15" customHeight="1" x14ac:dyDescent="0.15">
      <c r="B10" t="s">
        <v>67</v>
      </c>
      <c r="C10" s="12">
        <v>28</v>
      </c>
      <c r="D10" s="8">
        <v>0.98</v>
      </c>
      <c r="E10" s="12">
        <v>18</v>
      </c>
      <c r="F10" s="8">
        <v>1.38</v>
      </c>
      <c r="G10" s="12">
        <v>10</v>
      </c>
      <c r="H10" s="8">
        <v>0.65</v>
      </c>
      <c r="I10" s="12">
        <v>0</v>
      </c>
    </row>
    <row r="11" spans="2:9" ht="15" customHeight="1" x14ac:dyDescent="0.15">
      <c r="B11" t="s">
        <v>68</v>
      </c>
      <c r="C11" s="12">
        <v>538</v>
      </c>
      <c r="D11" s="8">
        <v>18.84</v>
      </c>
      <c r="E11" s="12">
        <v>231</v>
      </c>
      <c r="F11" s="8">
        <v>17.7</v>
      </c>
      <c r="G11" s="12">
        <v>307</v>
      </c>
      <c r="H11" s="8">
        <v>19.84</v>
      </c>
      <c r="I11" s="12">
        <v>0</v>
      </c>
    </row>
    <row r="12" spans="2:9" ht="15" customHeight="1" x14ac:dyDescent="0.15">
      <c r="B12" t="s">
        <v>69</v>
      </c>
      <c r="C12" s="12">
        <v>8</v>
      </c>
      <c r="D12" s="8">
        <v>0.28000000000000003</v>
      </c>
      <c r="E12" s="12">
        <v>1</v>
      </c>
      <c r="F12" s="8">
        <v>0.08</v>
      </c>
      <c r="G12" s="12">
        <v>7</v>
      </c>
      <c r="H12" s="8">
        <v>0.45</v>
      </c>
      <c r="I12" s="12">
        <v>0</v>
      </c>
    </row>
    <row r="13" spans="2:9" ht="15" customHeight="1" x14ac:dyDescent="0.15">
      <c r="B13" t="s">
        <v>70</v>
      </c>
      <c r="C13" s="12">
        <v>448</v>
      </c>
      <c r="D13" s="8">
        <v>15.69</v>
      </c>
      <c r="E13" s="12">
        <v>154</v>
      </c>
      <c r="F13" s="8">
        <v>11.8</v>
      </c>
      <c r="G13" s="12">
        <v>294</v>
      </c>
      <c r="H13" s="8">
        <v>19</v>
      </c>
      <c r="I13" s="12">
        <v>0</v>
      </c>
    </row>
    <row r="14" spans="2:9" ht="15" customHeight="1" x14ac:dyDescent="0.15">
      <c r="B14" t="s">
        <v>71</v>
      </c>
      <c r="C14" s="12">
        <v>183</v>
      </c>
      <c r="D14" s="8">
        <v>6.41</v>
      </c>
      <c r="E14" s="12">
        <v>68</v>
      </c>
      <c r="F14" s="8">
        <v>5.21</v>
      </c>
      <c r="G14" s="12">
        <v>115</v>
      </c>
      <c r="H14" s="8">
        <v>7.43</v>
      </c>
      <c r="I14" s="12">
        <v>0</v>
      </c>
    </row>
    <row r="15" spans="2:9" ht="15" customHeight="1" x14ac:dyDescent="0.15">
      <c r="B15" t="s">
        <v>72</v>
      </c>
      <c r="C15" s="12">
        <v>338</v>
      </c>
      <c r="D15" s="8">
        <v>11.84</v>
      </c>
      <c r="E15" s="12">
        <v>268</v>
      </c>
      <c r="F15" s="8">
        <v>20.54</v>
      </c>
      <c r="G15" s="12">
        <v>69</v>
      </c>
      <c r="H15" s="8">
        <v>4.46</v>
      </c>
      <c r="I15" s="12">
        <v>1</v>
      </c>
    </row>
    <row r="16" spans="2:9" ht="15" customHeight="1" x14ac:dyDescent="0.15">
      <c r="B16" t="s">
        <v>73</v>
      </c>
      <c r="C16" s="12">
        <v>359</v>
      </c>
      <c r="D16" s="8">
        <v>12.57</v>
      </c>
      <c r="E16" s="12">
        <v>244</v>
      </c>
      <c r="F16" s="8">
        <v>18.7</v>
      </c>
      <c r="G16" s="12">
        <v>115</v>
      </c>
      <c r="H16" s="8">
        <v>7.43</v>
      </c>
      <c r="I16" s="12">
        <v>0</v>
      </c>
    </row>
    <row r="17" spans="2:9" ht="15" customHeight="1" x14ac:dyDescent="0.15">
      <c r="B17" t="s">
        <v>74</v>
      </c>
      <c r="C17" s="12">
        <v>106</v>
      </c>
      <c r="D17" s="8">
        <v>3.71</v>
      </c>
      <c r="E17" s="12">
        <v>72</v>
      </c>
      <c r="F17" s="8">
        <v>5.52</v>
      </c>
      <c r="G17" s="12">
        <v>33</v>
      </c>
      <c r="H17" s="8">
        <v>2.13</v>
      </c>
      <c r="I17" s="12">
        <v>1</v>
      </c>
    </row>
    <row r="18" spans="2:9" ht="15" customHeight="1" x14ac:dyDescent="0.15">
      <c r="B18" t="s">
        <v>75</v>
      </c>
      <c r="C18" s="12">
        <v>184</v>
      </c>
      <c r="D18" s="8">
        <v>6.44</v>
      </c>
      <c r="E18" s="12">
        <v>111</v>
      </c>
      <c r="F18" s="8">
        <v>8.51</v>
      </c>
      <c r="G18" s="12">
        <v>73</v>
      </c>
      <c r="H18" s="8">
        <v>4.72</v>
      </c>
      <c r="I18" s="12">
        <v>0</v>
      </c>
    </row>
    <row r="19" spans="2:9" ht="15" customHeight="1" x14ac:dyDescent="0.15">
      <c r="B19" t="s">
        <v>76</v>
      </c>
      <c r="C19" s="12">
        <v>64</v>
      </c>
      <c r="D19" s="8">
        <v>2.2400000000000002</v>
      </c>
      <c r="E19" s="12">
        <v>18</v>
      </c>
      <c r="F19" s="8">
        <v>1.38</v>
      </c>
      <c r="G19" s="12">
        <v>45</v>
      </c>
      <c r="H19" s="8">
        <v>2.91</v>
      </c>
      <c r="I19" s="12">
        <v>1</v>
      </c>
    </row>
    <row r="20" spans="2:9" ht="15" customHeight="1" x14ac:dyDescent="0.15">
      <c r="B20" s="9" t="s">
        <v>216</v>
      </c>
      <c r="C20" s="12">
        <f>SUM(LTBL_14135[総数／事業所数])</f>
        <v>2855</v>
      </c>
      <c r="E20" s="12">
        <f>SUBTOTAL(109,LTBL_14135[個人／事業所数])</f>
        <v>1305</v>
      </c>
      <c r="G20" s="12">
        <f>SUBTOTAL(109,LTBL_14135[法人／事業所数])</f>
        <v>1547</v>
      </c>
      <c r="I20" s="12">
        <f>SUBTOTAL(109,LTBL_14135[法人以外の団体／事業所数])</f>
        <v>3</v>
      </c>
    </row>
    <row r="21" spans="2:9" ht="15" customHeight="1" x14ac:dyDescent="0.15">
      <c r="E21" s="11">
        <f>LTBL_14135[[#Totals],[個人／事業所数]]/LTBL_14135[[#Totals],[総数／事業所数]]</f>
        <v>0.45709281961471104</v>
      </c>
      <c r="G21" s="11">
        <f>LTBL_14135[[#Totals],[法人／事業所数]]/LTBL_14135[[#Totals],[総数／事業所数]]</f>
        <v>0.54185639229422067</v>
      </c>
      <c r="I21" s="11">
        <f>LTBL_14135[[#Totals],[法人以外の団体／事業所数]]/LTBL_14135[[#Totals],[総数／事業所数]]</f>
        <v>1.0507880910683013E-3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313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11</v>
      </c>
      <c r="D24" t="s">
        <v>217</v>
      </c>
      <c r="E24">
        <v>0</v>
      </c>
      <c r="F24" t="s">
        <v>219</v>
      </c>
      <c r="G24">
        <v>11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314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373</v>
      </c>
      <c r="D29" s="8">
        <v>13.06</v>
      </c>
      <c r="E29" s="12">
        <v>149</v>
      </c>
      <c r="F29" s="8">
        <v>11.42</v>
      </c>
      <c r="G29" s="12">
        <v>224</v>
      </c>
      <c r="H29" s="8">
        <v>14.48</v>
      </c>
      <c r="I29" s="12">
        <v>0</v>
      </c>
    </row>
    <row r="30" spans="2:9" ht="15" customHeight="1" x14ac:dyDescent="0.15">
      <c r="B30" t="s">
        <v>99</v>
      </c>
      <c r="C30" s="12">
        <v>309</v>
      </c>
      <c r="D30" s="8">
        <v>10.82</v>
      </c>
      <c r="E30" s="12">
        <v>266</v>
      </c>
      <c r="F30" s="8">
        <v>20.38</v>
      </c>
      <c r="G30" s="12">
        <v>42</v>
      </c>
      <c r="H30" s="8">
        <v>2.71</v>
      </c>
      <c r="I30" s="12">
        <v>1</v>
      </c>
    </row>
    <row r="31" spans="2:9" ht="15" customHeight="1" x14ac:dyDescent="0.15">
      <c r="B31" t="s">
        <v>100</v>
      </c>
      <c r="C31" s="12">
        <v>295</v>
      </c>
      <c r="D31" s="8">
        <v>10.33</v>
      </c>
      <c r="E31" s="12">
        <v>215</v>
      </c>
      <c r="F31" s="8">
        <v>16.48</v>
      </c>
      <c r="G31" s="12">
        <v>80</v>
      </c>
      <c r="H31" s="8">
        <v>5.17</v>
      </c>
      <c r="I31" s="12">
        <v>0</v>
      </c>
    </row>
    <row r="32" spans="2:9" ht="15" customHeight="1" x14ac:dyDescent="0.15">
      <c r="B32" t="s">
        <v>94</v>
      </c>
      <c r="C32" s="12">
        <v>185</v>
      </c>
      <c r="D32" s="8">
        <v>6.48</v>
      </c>
      <c r="E32" s="12">
        <v>99</v>
      </c>
      <c r="F32" s="8">
        <v>7.59</v>
      </c>
      <c r="G32" s="12">
        <v>86</v>
      </c>
      <c r="H32" s="8">
        <v>5.56</v>
      </c>
      <c r="I32" s="12">
        <v>0</v>
      </c>
    </row>
    <row r="33" spans="2:9" ht="15" customHeight="1" x14ac:dyDescent="0.15">
      <c r="B33" t="s">
        <v>86</v>
      </c>
      <c r="C33" s="12">
        <v>154</v>
      </c>
      <c r="D33" s="8">
        <v>5.39</v>
      </c>
      <c r="E33" s="12">
        <v>44</v>
      </c>
      <c r="F33" s="8">
        <v>3.37</v>
      </c>
      <c r="G33" s="12">
        <v>110</v>
      </c>
      <c r="H33" s="8">
        <v>7.11</v>
      </c>
      <c r="I33" s="12">
        <v>0</v>
      </c>
    </row>
    <row r="34" spans="2:9" ht="15" customHeight="1" x14ac:dyDescent="0.15">
      <c r="B34" t="s">
        <v>85</v>
      </c>
      <c r="C34" s="12">
        <v>151</v>
      </c>
      <c r="D34" s="8">
        <v>5.29</v>
      </c>
      <c r="E34" s="12">
        <v>27</v>
      </c>
      <c r="F34" s="8">
        <v>2.0699999999999998</v>
      </c>
      <c r="G34" s="12">
        <v>124</v>
      </c>
      <c r="H34" s="8">
        <v>8.02</v>
      </c>
      <c r="I34" s="12">
        <v>0</v>
      </c>
    </row>
    <row r="35" spans="2:9" ht="15" customHeight="1" x14ac:dyDescent="0.15">
      <c r="B35" t="s">
        <v>103</v>
      </c>
      <c r="C35" s="12">
        <v>135</v>
      </c>
      <c r="D35" s="8">
        <v>4.7300000000000004</v>
      </c>
      <c r="E35" s="12">
        <v>110</v>
      </c>
      <c r="F35" s="8">
        <v>8.43</v>
      </c>
      <c r="G35" s="12">
        <v>25</v>
      </c>
      <c r="H35" s="8">
        <v>1.62</v>
      </c>
      <c r="I35" s="12">
        <v>0</v>
      </c>
    </row>
    <row r="36" spans="2:9" ht="15" customHeight="1" x14ac:dyDescent="0.15">
      <c r="B36" t="s">
        <v>92</v>
      </c>
      <c r="C36" s="12">
        <v>116</v>
      </c>
      <c r="D36" s="8">
        <v>4.0599999999999996</v>
      </c>
      <c r="E36" s="12">
        <v>67</v>
      </c>
      <c r="F36" s="8">
        <v>5.13</v>
      </c>
      <c r="G36" s="12">
        <v>49</v>
      </c>
      <c r="H36" s="8">
        <v>3.17</v>
      </c>
      <c r="I36" s="12">
        <v>0</v>
      </c>
    </row>
    <row r="37" spans="2:9" ht="15" customHeight="1" x14ac:dyDescent="0.15">
      <c r="B37" t="s">
        <v>102</v>
      </c>
      <c r="C37" s="12">
        <v>106</v>
      </c>
      <c r="D37" s="8">
        <v>3.71</v>
      </c>
      <c r="E37" s="12">
        <v>72</v>
      </c>
      <c r="F37" s="8">
        <v>5.52</v>
      </c>
      <c r="G37" s="12">
        <v>33</v>
      </c>
      <c r="H37" s="8">
        <v>2.13</v>
      </c>
      <c r="I37" s="12">
        <v>1</v>
      </c>
    </row>
    <row r="38" spans="2:9" ht="15" customHeight="1" x14ac:dyDescent="0.15">
      <c r="B38" t="s">
        <v>87</v>
      </c>
      <c r="C38" s="12">
        <v>99</v>
      </c>
      <c r="D38" s="8">
        <v>3.47</v>
      </c>
      <c r="E38" s="12">
        <v>11</v>
      </c>
      <c r="F38" s="8">
        <v>0.84</v>
      </c>
      <c r="G38" s="12">
        <v>88</v>
      </c>
      <c r="H38" s="8">
        <v>5.69</v>
      </c>
      <c r="I38" s="12">
        <v>0</v>
      </c>
    </row>
    <row r="39" spans="2:9" ht="15" customHeight="1" x14ac:dyDescent="0.15">
      <c r="B39" t="s">
        <v>98</v>
      </c>
      <c r="C39" s="12">
        <v>96</v>
      </c>
      <c r="D39" s="8">
        <v>3.36</v>
      </c>
      <c r="E39" s="12">
        <v>29</v>
      </c>
      <c r="F39" s="8">
        <v>2.2200000000000002</v>
      </c>
      <c r="G39" s="12">
        <v>67</v>
      </c>
      <c r="H39" s="8">
        <v>4.33</v>
      </c>
      <c r="I39" s="12">
        <v>0</v>
      </c>
    </row>
    <row r="40" spans="2:9" ht="15" customHeight="1" x14ac:dyDescent="0.15">
      <c r="B40" t="s">
        <v>97</v>
      </c>
      <c r="C40" s="12">
        <v>77</v>
      </c>
      <c r="D40" s="8">
        <v>2.7</v>
      </c>
      <c r="E40" s="12">
        <v>38</v>
      </c>
      <c r="F40" s="8">
        <v>2.91</v>
      </c>
      <c r="G40" s="12">
        <v>39</v>
      </c>
      <c r="H40" s="8">
        <v>2.52</v>
      </c>
      <c r="I40" s="12">
        <v>0</v>
      </c>
    </row>
    <row r="41" spans="2:9" ht="15" customHeight="1" x14ac:dyDescent="0.15">
      <c r="B41" t="s">
        <v>95</v>
      </c>
      <c r="C41" s="12">
        <v>73</v>
      </c>
      <c r="D41" s="8">
        <v>2.56</v>
      </c>
      <c r="E41" s="12">
        <v>5</v>
      </c>
      <c r="F41" s="8">
        <v>0.38</v>
      </c>
      <c r="G41" s="12">
        <v>68</v>
      </c>
      <c r="H41" s="8">
        <v>4.4000000000000004</v>
      </c>
      <c r="I41" s="12">
        <v>0</v>
      </c>
    </row>
    <row r="42" spans="2:9" ht="15" customHeight="1" x14ac:dyDescent="0.15">
      <c r="B42" t="s">
        <v>93</v>
      </c>
      <c r="C42" s="12">
        <v>72</v>
      </c>
      <c r="D42" s="8">
        <v>2.52</v>
      </c>
      <c r="E42" s="12">
        <v>26</v>
      </c>
      <c r="F42" s="8">
        <v>1.99</v>
      </c>
      <c r="G42" s="12">
        <v>46</v>
      </c>
      <c r="H42" s="8">
        <v>2.97</v>
      </c>
      <c r="I42" s="12">
        <v>0</v>
      </c>
    </row>
    <row r="43" spans="2:9" ht="15" customHeight="1" x14ac:dyDescent="0.15">
      <c r="B43" t="s">
        <v>108</v>
      </c>
      <c r="C43" s="12">
        <v>49</v>
      </c>
      <c r="D43" s="8">
        <v>1.72</v>
      </c>
      <c r="E43" s="12">
        <v>1</v>
      </c>
      <c r="F43" s="8">
        <v>0.08</v>
      </c>
      <c r="G43" s="12">
        <v>48</v>
      </c>
      <c r="H43" s="8">
        <v>3.1</v>
      </c>
      <c r="I43" s="12">
        <v>0</v>
      </c>
    </row>
    <row r="44" spans="2:9" ht="15" customHeight="1" x14ac:dyDescent="0.15">
      <c r="B44" t="s">
        <v>91</v>
      </c>
      <c r="C44" s="12">
        <v>47</v>
      </c>
      <c r="D44" s="8">
        <v>1.65</v>
      </c>
      <c r="E44" s="12">
        <v>25</v>
      </c>
      <c r="F44" s="8">
        <v>1.92</v>
      </c>
      <c r="G44" s="12">
        <v>22</v>
      </c>
      <c r="H44" s="8">
        <v>1.42</v>
      </c>
      <c r="I44" s="12">
        <v>0</v>
      </c>
    </row>
    <row r="45" spans="2:9" ht="15" customHeight="1" x14ac:dyDescent="0.15">
      <c r="B45" t="s">
        <v>101</v>
      </c>
      <c r="C45" s="12">
        <v>43</v>
      </c>
      <c r="D45" s="8">
        <v>1.51</v>
      </c>
      <c r="E45" s="12">
        <v>21</v>
      </c>
      <c r="F45" s="8">
        <v>1.61</v>
      </c>
      <c r="G45" s="12">
        <v>22</v>
      </c>
      <c r="H45" s="8">
        <v>1.42</v>
      </c>
      <c r="I45" s="12">
        <v>0</v>
      </c>
    </row>
    <row r="46" spans="2:9" ht="15" customHeight="1" x14ac:dyDescent="0.15">
      <c r="B46" t="s">
        <v>104</v>
      </c>
      <c r="C46" s="12">
        <v>29</v>
      </c>
      <c r="D46" s="8">
        <v>1.02</v>
      </c>
      <c r="E46" s="12">
        <v>3</v>
      </c>
      <c r="F46" s="8">
        <v>0.23</v>
      </c>
      <c r="G46" s="12">
        <v>26</v>
      </c>
      <c r="H46" s="8">
        <v>1.68</v>
      </c>
      <c r="I46" s="12">
        <v>0</v>
      </c>
    </row>
    <row r="47" spans="2:9" ht="15" customHeight="1" x14ac:dyDescent="0.15">
      <c r="B47" t="s">
        <v>109</v>
      </c>
      <c r="C47" s="12">
        <v>26</v>
      </c>
      <c r="D47" s="8">
        <v>0.91</v>
      </c>
      <c r="E47" s="12">
        <v>0</v>
      </c>
      <c r="F47" s="8">
        <v>0</v>
      </c>
      <c r="G47" s="12">
        <v>26</v>
      </c>
      <c r="H47" s="8">
        <v>1.68</v>
      </c>
      <c r="I47" s="12">
        <v>0</v>
      </c>
    </row>
    <row r="48" spans="2:9" ht="15" customHeight="1" x14ac:dyDescent="0.15">
      <c r="B48" t="s">
        <v>90</v>
      </c>
      <c r="C48" s="12">
        <v>25</v>
      </c>
      <c r="D48" s="8">
        <v>0.88</v>
      </c>
      <c r="E48" s="12">
        <v>2</v>
      </c>
      <c r="F48" s="8">
        <v>0.15</v>
      </c>
      <c r="G48" s="12">
        <v>23</v>
      </c>
      <c r="H48" s="8">
        <v>1.49</v>
      </c>
      <c r="I48" s="12">
        <v>0</v>
      </c>
    </row>
    <row r="51" spans="2:9" ht="33" customHeight="1" x14ac:dyDescent="0.15">
      <c r="B51" t="s">
        <v>315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240</v>
      </c>
      <c r="D52" s="8">
        <v>8.41</v>
      </c>
      <c r="E52" s="12">
        <v>136</v>
      </c>
      <c r="F52" s="8">
        <v>10.42</v>
      </c>
      <c r="G52" s="12">
        <v>104</v>
      </c>
      <c r="H52" s="8">
        <v>6.72</v>
      </c>
      <c r="I52" s="12">
        <v>0</v>
      </c>
    </row>
    <row r="53" spans="2:9" ht="15" customHeight="1" x14ac:dyDescent="0.15">
      <c r="B53" t="s">
        <v>155</v>
      </c>
      <c r="C53" s="12">
        <v>137</v>
      </c>
      <c r="D53" s="8">
        <v>4.8</v>
      </c>
      <c r="E53" s="12">
        <v>108</v>
      </c>
      <c r="F53" s="8">
        <v>8.2799999999999994</v>
      </c>
      <c r="G53" s="12">
        <v>29</v>
      </c>
      <c r="H53" s="8">
        <v>1.87</v>
      </c>
      <c r="I53" s="12">
        <v>0</v>
      </c>
    </row>
    <row r="54" spans="2:9" ht="15" customHeight="1" x14ac:dyDescent="0.15">
      <c r="B54" t="s">
        <v>151</v>
      </c>
      <c r="C54" s="12">
        <v>121</v>
      </c>
      <c r="D54" s="8">
        <v>4.24</v>
      </c>
      <c r="E54" s="12">
        <v>110</v>
      </c>
      <c r="F54" s="8">
        <v>8.43</v>
      </c>
      <c r="G54" s="12">
        <v>11</v>
      </c>
      <c r="H54" s="8">
        <v>0.71</v>
      </c>
      <c r="I54" s="12">
        <v>0</v>
      </c>
    </row>
    <row r="55" spans="2:9" ht="15" customHeight="1" x14ac:dyDescent="0.15">
      <c r="B55" t="s">
        <v>149</v>
      </c>
      <c r="C55" s="12">
        <v>101</v>
      </c>
      <c r="D55" s="8">
        <v>3.54</v>
      </c>
      <c r="E55" s="12">
        <v>3</v>
      </c>
      <c r="F55" s="8">
        <v>0.23</v>
      </c>
      <c r="G55" s="12">
        <v>98</v>
      </c>
      <c r="H55" s="8">
        <v>6.33</v>
      </c>
      <c r="I55" s="12">
        <v>0</v>
      </c>
    </row>
    <row r="56" spans="2:9" ht="15" customHeight="1" x14ac:dyDescent="0.15">
      <c r="B56" t="s">
        <v>157</v>
      </c>
      <c r="C56" s="12">
        <v>99</v>
      </c>
      <c r="D56" s="8">
        <v>3.47</v>
      </c>
      <c r="E56" s="12">
        <v>80</v>
      </c>
      <c r="F56" s="8">
        <v>6.13</v>
      </c>
      <c r="G56" s="12">
        <v>19</v>
      </c>
      <c r="H56" s="8">
        <v>1.23</v>
      </c>
      <c r="I56" s="12">
        <v>0</v>
      </c>
    </row>
    <row r="57" spans="2:9" ht="15" customHeight="1" x14ac:dyDescent="0.15">
      <c r="B57" t="s">
        <v>154</v>
      </c>
      <c r="C57" s="12">
        <v>79</v>
      </c>
      <c r="D57" s="8">
        <v>2.77</v>
      </c>
      <c r="E57" s="12">
        <v>66</v>
      </c>
      <c r="F57" s="8">
        <v>5.0599999999999996</v>
      </c>
      <c r="G57" s="12">
        <v>13</v>
      </c>
      <c r="H57" s="8">
        <v>0.84</v>
      </c>
      <c r="I57" s="12">
        <v>0</v>
      </c>
    </row>
    <row r="58" spans="2:9" ht="15" customHeight="1" x14ac:dyDescent="0.15">
      <c r="B58" t="s">
        <v>150</v>
      </c>
      <c r="C58" s="12">
        <v>72</v>
      </c>
      <c r="D58" s="8">
        <v>2.52</v>
      </c>
      <c r="E58" s="12">
        <v>56</v>
      </c>
      <c r="F58" s="8">
        <v>4.29</v>
      </c>
      <c r="G58" s="12">
        <v>16</v>
      </c>
      <c r="H58" s="8">
        <v>1.03</v>
      </c>
      <c r="I58" s="12">
        <v>0</v>
      </c>
    </row>
    <row r="59" spans="2:9" ht="15" customHeight="1" x14ac:dyDescent="0.15">
      <c r="B59" t="s">
        <v>156</v>
      </c>
      <c r="C59" s="12">
        <v>67</v>
      </c>
      <c r="D59" s="8">
        <v>2.35</v>
      </c>
      <c r="E59" s="12">
        <v>50</v>
      </c>
      <c r="F59" s="8">
        <v>3.83</v>
      </c>
      <c r="G59" s="12">
        <v>16</v>
      </c>
      <c r="H59" s="8">
        <v>1.03</v>
      </c>
      <c r="I59" s="12">
        <v>1</v>
      </c>
    </row>
    <row r="60" spans="2:9" ht="15" customHeight="1" x14ac:dyDescent="0.15">
      <c r="B60" t="s">
        <v>145</v>
      </c>
      <c r="C60" s="12">
        <v>66</v>
      </c>
      <c r="D60" s="8">
        <v>2.31</v>
      </c>
      <c r="E60" s="12">
        <v>43</v>
      </c>
      <c r="F60" s="8">
        <v>3.3</v>
      </c>
      <c r="G60" s="12">
        <v>23</v>
      </c>
      <c r="H60" s="8">
        <v>1.49</v>
      </c>
      <c r="I60" s="12">
        <v>0</v>
      </c>
    </row>
    <row r="61" spans="2:9" ht="15" customHeight="1" x14ac:dyDescent="0.15">
      <c r="B61" t="s">
        <v>146</v>
      </c>
      <c r="C61" s="12">
        <v>63</v>
      </c>
      <c r="D61" s="8">
        <v>2.21</v>
      </c>
      <c r="E61" s="12">
        <v>5</v>
      </c>
      <c r="F61" s="8">
        <v>0.38</v>
      </c>
      <c r="G61" s="12">
        <v>58</v>
      </c>
      <c r="H61" s="8">
        <v>3.75</v>
      </c>
      <c r="I61" s="12">
        <v>0</v>
      </c>
    </row>
    <row r="62" spans="2:9" ht="15" customHeight="1" x14ac:dyDescent="0.15">
      <c r="B62" t="s">
        <v>153</v>
      </c>
      <c r="C62" s="12">
        <v>63</v>
      </c>
      <c r="D62" s="8">
        <v>2.21</v>
      </c>
      <c r="E62" s="12">
        <v>31</v>
      </c>
      <c r="F62" s="8">
        <v>2.38</v>
      </c>
      <c r="G62" s="12">
        <v>32</v>
      </c>
      <c r="H62" s="8">
        <v>2.0699999999999998</v>
      </c>
      <c r="I62" s="12">
        <v>0</v>
      </c>
    </row>
    <row r="63" spans="2:9" ht="15" customHeight="1" x14ac:dyDescent="0.15">
      <c r="B63" t="s">
        <v>159</v>
      </c>
      <c r="C63" s="12">
        <v>57</v>
      </c>
      <c r="D63" s="8">
        <v>2</v>
      </c>
      <c r="E63" s="12">
        <v>11</v>
      </c>
      <c r="F63" s="8">
        <v>0.84</v>
      </c>
      <c r="G63" s="12">
        <v>46</v>
      </c>
      <c r="H63" s="8">
        <v>2.97</v>
      </c>
      <c r="I63" s="12">
        <v>0</v>
      </c>
    </row>
    <row r="64" spans="2:9" ht="15" customHeight="1" x14ac:dyDescent="0.15">
      <c r="B64" t="s">
        <v>152</v>
      </c>
      <c r="C64" s="12">
        <v>50</v>
      </c>
      <c r="D64" s="8">
        <v>1.75</v>
      </c>
      <c r="E64" s="12">
        <v>46</v>
      </c>
      <c r="F64" s="8">
        <v>3.52</v>
      </c>
      <c r="G64" s="12">
        <v>4</v>
      </c>
      <c r="H64" s="8">
        <v>0.26</v>
      </c>
      <c r="I64" s="12">
        <v>0</v>
      </c>
    </row>
    <row r="65" spans="2:9" ht="15" customHeight="1" x14ac:dyDescent="0.15">
      <c r="B65" t="s">
        <v>138</v>
      </c>
      <c r="C65" s="12">
        <v>44</v>
      </c>
      <c r="D65" s="8">
        <v>1.54</v>
      </c>
      <c r="E65" s="12">
        <v>6</v>
      </c>
      <c r="F65" s="8">
        <v>0.46</v>
      </c>
      <c r="G65" s="12">
        <v>38</v>
      </c>
      <c r="H65" s="8">
        <v>2.46</v>
      </c>
      <c r="I65" s="12">
        <v>0</v>
      </c>
    </row>
    <row r="66" spans="2:9" ht="15" customHeight="1" x14ac:dyDescent="0.15">
      <c r="B66" t="s">
        <v>161</v>
      </c>
      <c r="C66" s="12">
        <v>42</v>
      </c>
      <c r="D66" s="8">
        <v>1.47</v>
      </c>
      <c r="E66" s="12">
        <v>16</v>
      </c>
      <c r="F66" s="8">
        <v>1.23</v>
      </c>
      <c r="G66" s="12">
        <v>26</v>
      </c>
      <c r="H66" s="8">
        <v>1.68</v>
      </c>
      <c r="I66" s="12">
        <v>0</v>
      </c>
    </row>
    <row r="67" spans="2:9" ht="15" customHeight="1" x14ac:dyDescent="0.15">
      <c r="B67" t="s">
        <v>143</v>
      </c>
      <c r="C67" s="12">
        <v>40</v>
      </c>
      <c r="D67" s="8">
        <v>1.4</v>
      </c>
      <c r="E67" s="12">
        <v>20</v>
      </c>
      <c r="F67" s="8">
        <v>1.53</v>
      </c>
      <c r="G67" s="12">
        <v>20</v>
      </c>
      <c r="H67" s="8">
        <v>1.29</v>
      </c>
      <c r="I67" s="12">
        <v>0</v>
      </c>
    </row>
    <row r="68" spans="2:9" ht="15" customHeight="1" x14ac:dyDescent="0.15">
      <c r="B68" t="s">
        <v>139</v>
      </c>
      <c r="C68" s="12">
        <v>37</v>
      </c>
      <c r="D68" s="8">
        <v>1.3</v>
      </c>
      <c r="E68" s="12">
        <v>5</v>
      </c>
      <c r="F68" s="8">
        <v>0.38</v>
      </c>
      <c r="G68" s="12">
        <v>32</v>
      </c>
      <c r="H68" s="8">
        <v>2.0699999999999998</v>
      </c>
      <c r="I68" s="12">
        <v>0</v>
      </c>
    </row>
    <row r="69" spans="2:9" ht="15" customHeight="1" x14ac:dyDescent="0.15">
      <c r="B69" t="s">
        <v>140</v>
      </c>
      <c r="C69" s="12">
        <v>37</v>
      </c>
      <c r="D69" s="8">
        <v>1.3</v>
      </c>
      <c r="E69" s="12">
        <v>6</v>
      </c>
      <c r="F69" s="8">
        <v>0.46</v>
      </c>
      <c r="G69" s="12">
        <v>31</v>
      </c>
      <c r="H69" s="8">
        <v>2</v>
      </c>
      <c r="I69" s="12">
        <v>0</v>
      </c>
    </row>
    <row r="70" spans="2:9" ht="15" customHeight="1" x14ac:dyDescent="0.15">
      <c r="B70" t="s">
        <v>141</v>
      </c>
      <c r="C70" s="12">
        <v>37</v>
      </c>
      <c r="D70" s="8">
        <v>1.3</v>
      </c>
      <c r="E70" s="12">
        <v>2</v>
      </c>
      <c r="F70" s="8">
        <v>0.15</v>
      </c>
      <c r="G70" s="12">
        <v>35</v>
      </c>
      <c r="H70" s="8">
        <v>2.2599999999999998</v>
      </c>
      <c r="I70" s="12">
        <v>0</v>
      </c>
    </row>
    <row r="71" spans="2:9" ht="15" customHeight="1" x14ac:dyDescent="0.15">
      <c r="B71" t="s">
        <v>174</v>
      </c>
      <c r="C71" s="12">
        <v>35</v>
      </c>
      <c r="D71" s="8">
        <v>1.23</v>
      </c>
      <c r="E71" s="12">
        <v>11</v>
      </c>
      <c r="F71" s="8">
        <v>0.84</v>
      </c>
      <c r="G71" s="12">
        <v>24</v>
      </c>
      <c r="H71" s="8">
        <v>1.55</v>
      </c>
      <c r="I71" s="12">
        <v>0</v>
      </c>
    </row>
    <row r="72" spans="2:9" ht="15" customHeight="1" x14ac:dyDescent="0.15">
      <c r="B72" t="s">
        <v>175</v>
      </c>
      <c r="C72" s="12">
        <v>35</v>
      </c>
      <c r="D72" s="8">
        <v>1.23</v>
      </c>
      <c r="E72" s="12">
        <v>21</v>
      </c>
      <c r="F72" s="8">
        <v>1.61</v>
      </c>
      <c r="G72" s="12">
        <v>14</v>
      </c>
      <c r="H72" s="8">
        <v>0.9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417</v>
      </c>
      <c r="D6" s="8">
        <v>18.010000000000002</v>
      </c>
      <c r="E6" s="12">
        <v>61</v>
      </c>
      <c r="F6" s="8">
        <v>7.48</v>
      </c>
      <c r="G6" s="12">
        <v>356</v>
      </c>
      <c r="H6" s="8">
        <v>23.73</v>
      </c>
      <c r="I6" s="12">
        <v>0</v>
      </c>
    </row>
    <row r="7" spans="2:9" ht="15" customHeight="1" x14ac:dyDescent="0.15">
      <c r="B7" t="s">
        <v>64</v>
      </c>
      <c r="C7" s="12">
        <v>205</v>
      </c>
      <c r="D7" s="8">
        <v>8.85</v>
      </c>
      <c r="E7" s="12">
        <v>52</v>
      </c>
      <c r="F7" s="8">
        <v>6.37</v>
      </c>
      <c r="G7" s="12">
        <v>153</v>
      </c>
      <c r="H7" s="8">
        <v>10.199999999999999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15">
      <c r="B9" t="s">
        <v>66</v>
      </c>
      <c r="C9" s="12">
        <v>49</v>
      </c>
      <c r="D9" s="8">
        <v>2.12</v>
      </c>
      <c r="E9" s="12">
        <v>0</v>
      </c>
      <c r="F9" s="8">
        <v>0</v>
      </c>
      <c r="G9" s="12">
        <v>49</v>
      </c>
      <c r="H9" s="8">
        <v>3.27</v>
      </c>
      <c r="I9" s="12">
        <v>0</v>
      </c>
    </row>
    <row r="10" spans="2:9" ht="15" customHeight="1" x14ac:dyDescent="0.15">
      <c r="B10" t="s">
        <v>67</v>
      </c>
      <c r="C10" s="12">
        <v>44</v>
      </c>
      <c r="D10" s="8">
        <v>1.9</v>
      </c>
      <c r="E10" s="12">
        <v>26</v>
      </c>
      <c r="F10" s="8">
        <v>3.19</v>
      </c>
      <c r="G10" s="12">
        <v>18</v>
      </c>
      <c r="H10" s="8">
        <v>1.2</v>
      </c>
      <c r="I10" s="12">
        <v>0</v>
      </c>
    </row>
    <row r="11" spans="2:9" ht="15" customHeight="1" x14ac:dyDescent="0.15">
      <c r="B11" t="s">
        <v>68</v>
      </c>
      <c r="C11" s="12">
        <v>389</v>
      </c>
      <c r="D11" s="8">
        <v>16.8</v>
      </c>
      <c r="E11" s="12">
        <v>95</v>
      </c>
      <c r="F11" s="8">
        <v>11.64</v>
      </c>
      <c r="G11" s="12">
        <v>294</v>
      </c>
      <c r="H11" s="8">
        <v>19.600000000000001</v>
      </c>
      <c r="I11" s="12">
        <v>0</v>
      </c>
    </row>
    <row r="12" spans="2:9" ht="15" customHeight="1" x14ac:dyDescent="0.15">
      <c r="B12" t="s">
        <v>69</v>
      </c>
      <c r="C12" s="12">
        <v>7</v>
      </c>
      <c r="D12" s="8">
        <v>0.3</v>
      </c>
      <c r="E12" s="12">
        <v>0</v>
      </c>
      <c r="F12" s="8">
        <v>0</v>
      </c>
      <c r="G12" s="12">
        <v>7</v>
      </c>
      <c r="H12" s="8">
        <v>0.47</v>
      </c>
      <c r="I12" s="12">
        <v>0</v>
      </c>
    </row>
    <row r="13" spans="2:9" ht="15" customHeight="1" x14ac:dyDescent="0.15">
      <c r="B13" t="s">
        <v>70</v>
      </c>
      <c r="C13" s="12">
        <v>331</v>
      </c>
      <c r="D13" s="8">
        <v>14.29</v>
      </c>
      <c r="E13" s="12">
        <v>96</v>
      </c>
      <c r="F13" s="8">
        <v>11.76</v>
      </c>
      <c r="G13" s="12">
        <v>235</v>
      </c>
      <c r="H13" s="8">
        <v>15.67</v>
      </c>
      <c r="I13" s="12">
        <v>0</v>
      </c>
    </row>
    <row r="14" spans="2:9" ht="15" customHeight="1" x14ac:dyDescent="0.15">
      <c r="B14" t="s">
        <v>71</v>
      </c>
      <c r="C14" s="12">
        <v>124</v>
      </c>
      <c r="D14" s="8">
        <v>5.35</v>
      </c>
      <c r="E14" s="12">
        <v>41</v>
      </c>
      <c r="F14" s="8">
        <v>5.0199999999999996</v>
      </c>
      <c r="G14" s="12">
        <v>83</v>
      </c>
      <c r="H14" s="8">
        <v>5.53</v>
      </c>
      <c r="I14" s="12">
        <v>0</v>
      </c>
    </row>
    <row r="15" spans="2:9" ht="15" customHeight="1" x14ac:dyDescent="0.15">
      <c r="B15" t="s">
        <v>72</v>
      </c>
      <c r="C15" s="12">
        <v>207</v>
      </c>
      <c r="D15" s="8">
        <v>8.94</v>
      </c>
      <c r="E15" s="12">
        <v>142</v>
      </c>
      <c r="F15" s="8">
        <v>17.399999999999999</v>
      </c>
      <c r="G15" s="12">
        <v>65</v>
      </c>
      <c r="H15" s="8">
        <v>4.33</v>
      </c>
      <c r="I15" s="12">
        <v>0</v>
      </c>
    </row>
    <row r="16" spans="2:9" ht="15" customHeight="1" x14ac:dyDescent="0.15">
      <c r="B16" t="s">
        <v>73</v>
      </c>
      <c r="C16" s="12">
        <v>246</v>
      </c>
      <c r="D16" s="8">
        <v>10.62</v>
      </c>
      <c r="E16" s="12">
        <v>159</v>
      </c>
      <c r="F16" s="8">
        <v>19.489999999999998</v>
      </c>
      <c r="G16" s="12">
        <v>87</v>
      </c>
      <c r="H16" s="8">
        <v>5.8</v>
      </c>
      <c r="I16" s="12">
        <v>0</v>
      </c>
    </row>
    <row r="17" spans="2:9" ht="15" customHeight="1" x14ac:dyDescent="0.15">
      <c r="B17" t="s">
        <v>74</v>
      </c>
      <c r="C17" s="12">
        <v>104</v>
      </c>
      <c r="D17" s="8">
        <v>4.49</v>
      </c>
      <c r="E17" s="12">
        <v>60</v>
      </c>
      <c r="F17" s="8">
        <v>7.35</v>
      </c>
      <c r="G17" s="12">
        <v>44</v>
      </c>
      <c r="H17" s="8">
        <v>2.93</v>
      </c>
      <c r="I17" s="12">
        <v>0</v>
      </c>
    </row>
    <row r="18" spans="2:9" ht="15" customHeight="1" x14ac:dyDescent="0.15">
      <c r="B18" t="s">
        <v>75</v>
      </c>
      <c r="C18" s="12">
        <v>112</v>
      </c>
      <c r="D18" s="8">
        <v>4.84</v>
      </c>
      <c r="E18" s="12">
        <v>64</v>
      </c>
      <c r="F18" s="8">
        <v>7.84</v>
      </c>
      <c r="G18" s="12">
        <v>48</v>
      </c>
      <c r="H18" s="8">
        <v>3.2</v>
      </c>
      <c r="I18" s="12">
        <v>0</v>
      </c>
    </row>
    <row r="19" spans="2:9" ht="15" customHeight="1" x14ac:dyDescent="0.15">
      <c r="B19" t="s">
        <v>76</v>
      </c>
      <c r="C19" s="12">
        <v>80</v>
      </c>
      <c r="D19" s="8">
        <v>3.45</v>
      </c>
      <c r="E19" s="12">
        <v>20</v>
      </c>
      <c r="F19" s="8">
        <v>2.4500000000000002</v>
      </c>
      <c r="G19" s="12">
        <v>60</v>
      </c>
      <c r="H19" s="8">
        <v>4</v>
      </c>
      <c r="I19" s="12">
        <v>0</v>
      </c>
    </row>
    <row r="20" spans="2:9" ht="15" customHeight="1" x14ac:dyDescent="0.15">
      <c r="B20" s="9" t="s">
        <v>216</v>
      </c>
      <c r="C20" s="12">
        <f>SUM(LTBL_14136[総数／事業所数])</f>
        <v>2316</v>
      </c>
      <c r="E20" s="12">
        <f>SUBTOTAL(109,LTBL_14136[個人／事業所数])</f>
        <v>816</v>
      </c>
      <c r="G20" s="12">
        <f>SUBTOTAL(109,LTBL_14136[法人／事業所数])</f>
        <v>1500</v>
      </c>
      <c r="I20" s="12">
        <f>SUBTOTAL(109,LTBL_14136[法人以外の団体／事業所数])</f>
        <v>0</v>
      </c>
    </row>
    <row r="21" spans="2:9" ht="15" customHeight="1" x14ac:dyDescent="0.15">
      <c r="E21" s="11">
        <f>LTBL_14136[[#Totals],[個人／事業所数]]/LTBL_14136[[#Totals],[総数／事業所数]]</f>
        <v>0.35233160621761656</v>
      </c>
      <c r="G21" s="11">
        <f>LTBL_14136[[#Totals],[法人／事業所数]]/LTBL_14136[[#Totals],[総数／事業所数]]</f>
        <v>0.64766839378238339</v>
      </c>
      <c r="I21" s="11">
        <f>LTBL_14136[[#Totals],[法人以外の団体／事業所数]]/LTBL_14136[[#Totals],[総数／事業所数]]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317</v>
      </c>
      <c r="E23" s="10" t="s">
        <v>80</v>
      </c>
      <c r="F23" s="10" t="s">
        <v>223</v>
      </c>
      <c r="G23" s="10" t="s">
        <v>82</v>
      </c>
      <c r="H23" s="10" t="s">
        <v>318</v>
      </c>
      <c r="I23" s="10" t="s">
        <v>84</v>
      </c>
    </row>
    <row r="24" spans="2:9" ht="15" customHeight="1" x14ac:dyDescent="0.15">
      <c r="B24" t="s">
        <v>218</v>
      </c>
      <c r="C24">
        <v>10</v>
      </c>
      <c r="D24" t="s">
        <v>217</v>
      </c>
      <c r="E24">
        <v>0</v>
      </c>
      <c r="F24" t="s">
        <v>219</v>
      </c>
      <c r="G24">
        <v>10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274</v>
      </c>
      <c r="D29" s="8">
        <v>11.83</v>
      </c>
      <c r="E29" s="12">
        <v>90</v>
      </c>
      <c r="F29" s="8">
        <v>11.03</v>
      </c>
      <c r="G29" s="12">
        <v>184</v>
      </c>
      <c r="H29" s="8">
        <v>12.27</v>
      </c>
      <c r="I29" s="12">
        <v>0</v>
      </c>
    </row>
    <row r="30" spans="2:9" ht="15" customHeight="1" x14ac:dyDescent="0.15">
      <c r="B30" t="s">
        <v>100</v>
      </c>
      <c r="C30" s="12">
        <v>212</v>
      </c>
      <c r="D30" s="8">
        <v>9.15</v>
      </c>
      <c r="E30" s="12">
        <v>147</v>
      </c>
      <c r="F30" s="8">
        <v>18.010000000000002</v>
      </c>
      <c r="G30" s="12">
        <v>65</v>
      </c>
      <c r="H30" s="8">
        <v>4.33</v>
      </c>
      <c r="I30" s="12">
        <v>0</v>
      </c>
    </row>
    <row r="31" spans="2:9" ht="15" customHeight="1" x14ac:dyDescent="0.15">
      <c r="B31" t="s">
        <v>99</v>
      </c>
      <c r="C31" s="12">
        <v>179</v>
      </c>
      <c r="D31" s="8">
        <v>7.73</v>
      </c>
      <c r="E31" s="12">
        <v>141</v>
      </c>
      <c r="F31" s="8">
        <v>17.28</v>
      </c>
      <c r="G31" s="12">
        <v>38</v>
      </c>
      <c r="H31" s="8">
        <v>2.5299999999999998</v>
      </c>
      <c r="I31" s="12">
        <v>0</v>
      </c>
    </row>
    <row r="32" spans="2:9" ht="15" customHeight="1" x14ac:dyDescent="0.15">
      <c r="B32" t="s">
        <v>85</v>
      </c>
      <c r="C32" s="12">
        <v>147</v>
      </c>
      <c r="D32" s="8">
        <v>6.35</v>
      </c>
      <c r="E32" s="12">
        <v>21</v>
      </c>
      <c r="F32" s="8">
        <v>2.57</v>
      </c>
      <c r="G32" s="12">
        <v>126</v>
      </c>
      <c r="H32" s="8">
        <v>8.4</v>
      </c>
      <c r="I32" s="12">
        <v>0</v>
      </c>
    </row>
    <row r="33" spans="2:9" ht="15" customHeight="1" x14ac:dyDescent="0.15">
      <c r="B33" t="s">
        <v>86</v>
      </c>
      <c r="C33" s="12">
        <v>143</v>
      </c>
      <c r="D33" s="8">
        <v>6.17</v>
      </c>
      <c r="E33" s="12">
        <v>32</v>
      </c>
      <c r="F33" s="8">
        <v>3.92</v>
      </c>
      <c r="G33" s="12">
        <v>111</v>
      </c>
      <c r="H33" s="8">
        <v>7.4</v>
      </c>
      <c r="I33" s="12">
        <v>0</v>
      </c>
    </row>
    <row r="34" spans="2:9" ht="15" customHeight="1" x14ac:dyDescent="0.15">
      <c r="B34" t="s">
        <v>87</v>
      </c>
      <c r="C34" s="12">
        <v>127</v>
      </c>
      <c r="D34" s="8">
        <v>5.48</v>
      </c>
      <c r="E34" s="12">
        <v>8</v>
      </c>
      <c r="F34" s="8">
        <v>0.98</v>
      </c>
      <c r="G34" s="12">
        <v>119</v>
      </c>
      <c r="H34" s="8">
        <v>7.93</v>
      </c>
      <c r="I34" s="12">
        <v>0</v>
      </c>
    </row>
    <row r="35" spans="2:9" ht="15" customHeight="1" x14ac:dyDescent="0.15">
      <c r="B35" t="s">
        <v>102</v>
      </c>
      <c r="C35" s="12">
        <v>104</v>
      </c>
      <c r="D35" s="8">
        <v>4.49</v>
      </c>
      <c r="E35" s="12">
        <v>60</v>
      </c>
      <c r="F35" s="8">
        <v>7.35</v>
      </c>
      <c r="G35" s="12">
        <v>44</v>
      </c>
      <c r="H35" s="8">
        <v>2.93</v>
      </c>
      <c r="I35" s="12">
        <v>0</v>
      </c>
    </row>
    <row r="36" spans="2:9" ht="15" customHeight="1" x14ac:dyDescent="0.15">
      <c r="B36" t="s">
        <v>94</v>
      </c>
      <c r="C36" s="12">
        <v>90</v>
      </c>
      <c r="D36" s="8">
        <v>3.89</v>
      </c>
      <c r="E36" s="12">
        <v>35</v>
      </c>
      <c r="F36" s="8">
        <v>4.29</v>
      </c>
      <c r="G36" s="12">
        <v>55</v>
      </c>
      <c r="H36" s="8">
        <v>3.67</v>
      </c>
      <c r="I36" s="12">
        <v>0</v>
      </c>
    </row>
    <row r="37" spans="2:9" ht="15" customHeight="1" x14ac:dyDescent="0.15">
      <c r="B37" t="s">
        <v>103</v>
      </c>
      <c r="C37" s="12">
        <v>85</v>
      </c>
      <c r="D37" s="8">
        <v>3.67</v>
      </c>
      <c r="E37" s="12">
        <v>64</v>
      </c>
      <c r="F37" s="8">
        <v>7.84</v>
      </c>
      <c r="G37" s="12">
        <v>21</v>
      </c>
      <c r="H37" s="8">
        <v>1.4</v>
      </c>
      <c r="I37" s="12">
        <v>0</v>
      </c>
    </row>
    <row r="38" spans="2:9" ht="15" customHeight="1" x14ac:dyDescent="0.15">
      <c r="B38" t="s">
        <v>92</v>
      </c>
      <c r="C38" s="12">
        <v>71</v>
      </c>
      <c r="D38" s="8">
        <v>3.07</v>
      </c>
      <c r="E38" s="12">
        <v>34</v>
      </c>
      <c r="F38" s="8">
        <v>4.17</v>
      </c>
      <c r="G38" s="12">
        <v>37</v>
      </c>
      <c r="H38" s="8">
        <v>2.4700000000000002</v>
      </c>
      <c r="I38" s="12">
        <v>0</v>
      </c>
    </row>
    <row r="39" spans="2:9" ht="15" customHeight="1" x14ac:dyDescent="0.15">
      <c r="B39" t="s">
        <v>97</v>
      </c>
      <c r="C39" s="12">
        <v>64</v>
      </c>
      <c r="D39" s="8">
        <v>2.76</v>
      </c>
      <c r="E39" s="12">
        <v>22</v>
      </c>
      <c r="F39" s="8">
        <v>2.7</v>
      </c>
      <c r="G39" s="12">
        <v>42</v>
      </c>
      <c r="H39" s="8">
        <v>2.8</v>
      </c>
      <c r="I39" s="12">
        <v>0</v>
      </c>
    </row>
    <row r="40" spans="2:9" ht="15" customHeight="1" x14ac:dyDescent="0.15">
      <c r="B40" t="s">
        <v>93</v>
      </c>
      <c r="C40" s="12">
        <v>54</v>
      </c>
      <c r="D40" s="8">
        <v>2.33</v>
      </c>
      <c r="E40" s="12">
        <v>10</v>
      </c>
      <c r="F40" s="8">
        <v>1.23</v>
      </c>
      <c r="G40" s="12">
        <v>44</v>
      </c>
      <c r="H40" s="8">
        <v>2.93</v>
      </c>
      <c r="I40" s="12">
        <v>0</v>
      </c>
    </row>
    <row r="41" spans="2:9" ht="15" customHeight="1" x14ac:dyDescent="0.15">
      <c r="B41" t="s">
        <v>98</v>
      </c>
      <c r="C41" s="12">
        <v>53</v>
      </c>
      <c r="D41" s="8">
        <v>2.29</v>
      </c>
      <c r="E41" s="12">
        <v>19</v>
      </c>
      <c r="F41" s="8">
        <v>2.33</v>
      </c>
      <c r="G41" s="12">
        <v>34</v>
      </c>
      <c r="H41" s="8">
        <v>2.27</v>
      </c>
      <c r="I41" s="12">
        <v>0</v>
      </c>
    </row>
    <row r="42" spans="2:9" ht="15" customHeight="1" x14ac:dyDescent="0.15">
      <c r="B42" t="s">
        <v>95</v>
      </c>
      <c r="C42" s="12">
        <v>49</v>
      </c>
      <c r="D42" s="8">
        <v>2.12</v>
      </c>
      <c r="E42" s="12">
        <v>4</v>
      </c>
      <c r="F42" s="8">
        <v>0.49</v>
      </c>
      <c r="G42" s="12">
        <v>45</v>
      </c>
      <c r="H42" s="8">
        <v>3</v>
      </c>
      <c r="I42" s="12">
        <v>0</v>
      </c>
    </row>
    <row r="43" spans="2:9" ht="15" customHeight="1" x14ac:dyDescent="0.15">
      <c r="B43" t="s">
        <v>107</v>
      </c>
      <c r="C43" s="12">
        <v>45</v>
      </c>
      <c r="D43" s="8">
        <v>1.94</v>
      </c>
      <c r="E43" s="12">
        <v>1</v>
      </c>
      <c r="F43" s="8">
        <v>0.12</v>
      </c>
      <c r="G43" s="12">
        <v>44</v>
      </c>
      <c r="H43" s="8">
        <v>2.93</v>
      </c>
      <c r="I43" s="12">
        <v>0</v>
      </c>
    </row>
    <row r="44" spans="2:9" ht="15" customHeight="1" x14ac:dyDescent="0.15">
      <c r="B44" t="s">
        <v>104</v>
      </c>
      <c r="C44" s="12">
        <v>31</v>
      </c>
      <c r="D44" s="8">
        <v>1.34</v>
      </c>
      <c r="E44" s="12">
        <v>2</v>
      </c>
      <c r="F44" s="8">
        <v>0.25</v>
      </c>
      <c r="G44" s="12">
        <v>29</v>
      </c>
      <c r="H44" s="8">
        <v>1.93</v>
      </c>
      <c r="I44" s="12">
        <v>0</v>
      </c>
    </row>
    <row r="45" spans="2:9" ht="15" customHeight="1" x14ac:dyDescent="0.15">
      <c r="B45" t="s">
        <v>88</v>
      </c>
      <c r="C45" s="12">
        <v>30</v>
      </c>
      <c r="D45" s="8">
        <v>1.3</v>
      </c>
      <c r="E45" s="12">
        <v>8</v>
      </c>
      <c r="F45" s="8">
        <v>0.98</v>
      </c>
      <c r="G45" s="12">
        <v>22</v>
      </c>
      <c r="H45" s="8">
        <v>1.47</v>
      </c>
      <c r="I45" s="12">
        <v>0</v>
      </c>
    </row>
    <row r="46" spans="2:9" ht="15" customHeight="1" x14ac:dyDescent="0.15">
      <c r="B46" t="s">
        <v>105</v>
      </c>
      <c r="C46" s="12">
        <v>30</v>
      </c>
      <c r="D46" s="8">
        <v>1.3</v>
      </c>
      <c r="E46" s="12">
        <v>2</v>
      </c>
      <c r="F46" s="8">
        <v>0.25</v>
      </c>
      <c r="G46" s="12">
        <v>28</v>
      </c>
      <c r="H46" s="8">
        <v>1.87</v>
      </c>
      <c r="I46" s="12">
        <v>0</v>
      </c>
    </row>
    <row r="47" spans="2:9" ht="15" customHeight="1" x14ac:dyDescent="0.15">
      <c r="B47" t="s">
        <v>119</v>
      </c>
      <c r="C47" s="12">
        <v>28</v>
      </c>
      <c r="D47" s="8">
        <v>1.21</v>
      </c>
      <c r="E47" s="12">
        <v>4</v>
      </c>
      <c r="F47" s="8">
        <v>0.49</v>
      </c>
      <c r="G47" s="12">
        <v>24</v>
      </c>
      <c r="H47" s="8">
        <v>1.6</v>
      </c>
      <c r="I47" s="12">
        <v>0</v>
      </c>
    </row>
    <row r="48" spans="2:9" ht="15" customHeight="1" x14ac:dyDescent="0.15">
      <c r="B48" t="s">
        <v>109</v>
      </c>
      <c r="C48" s="12">
        <v>27</v>
      </c>
      <c r="D48" s="8">
        <v>1.17</v>
      </c>
      <c r="E48" s="12">
        <v>0</v>
      </c>
      <c r="F48" s="8">
        <v>0</v>
      </c>
      <c r="G48" s="12">
        <v>27</v>
      </c>
      <c r="H48" s="8">
        <v>1.8</v>
      </c>
      <c r="I48" s="12">
        <v>0</v>
      </c>
    </row>
    <row r="49" spans="2:9" ht="15" customHeight="1" x14ac:dyDescent="0.15">
      <c r="B49" t="s">
        <v>108</v>
      </c>
      <c r="C49" s="12">
        <v>27</v>
      </c>
      <c r="D49" s="8">
        <v>1.17</v>
      </c>
      <c r="E49" s="12">
        <v>0</v>
      </c>
      <c r="F49" s="8">
        <v>0</v>
      </c>
      <c r="G49" s="12">
        <v>27</v>
      </c>
      <c r="H49" s="8">
        <v>1.8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147</v>
      </c>
      <c r="D53" s="8">
        <v>6.35</v>
      </c>
      <c r="E53" s="12">
        <v>80</v>
      </c>
      <c r="F53" s="8">
        <v>9.8000000000000007</v>
      </c>
      <c r="G53" s="12">
        <v>67</v>
      </c>
      <c r="H53" s="8">
        <v>4.47</v>
      </c>
      <c r="I53" s="12">
        <v>0</v>
      </c>
    </row>
    <row r="54" spans="2:9" ht="15" customHeight="1" x14ac:dyDescent="0.15">
      <c r="B54" t="s">
        <v>149</v>
      </c>
      <c r="C54" s="12">
        <v>93</v>
      </c>
      <c r="D54" s="8">
        <v>4.0199999999999996</v>
      </c>
      <c r="E54" s="12">
        <v>3</v>
      </c>
      <c r="F54" s="8">
        <v>0.37</v>
      </c>
      <c r="G54" s="12">
        <v>90</v>
      </c>
      <c r="H54" s="8">
        <v>6</v>
      </c>
      <c r="I54" s="12">
        <v>0</v>
      </c>
    </row>
    <row r="55" spans="2:9" ht="15" customHeight="1" x14ac:dyDescent="0.15">
      <c r="B55" t="s">
        <v>155</v>
      </c>
      <c r="C55" s="12">
        <v>86</v>
      </c>
      <c r="D55" s="8">
        <v>3.71</v>
      </c>
      <c r="E55" s="12">
        <v>69</v>
      </c>
      <c r="F55" s="8">
        <v>8.4600000000000009</v>
      </c>
      <c r="G55" s="12">
        <v>17</v>
      </c>
      <c r="H55" s="8">
        <v>1.1299999999999999</v>
      </c>
      <c r="I55" s="12">
        <v>0</v>
      </c>
    </row>
    <row r="56" spans="2:9" ht="15" customHeight="1" x14ac:dyDescent="0.15">
      <c r="B56" t="s">
        <v>154</v>
      </c>
      <c r="C56" s="12">
        <v>64</v>
      </c>
      <c r="D56" s="8">
        <v>2.76</v>
      </c>
      <c r="E56" s="12">
        <v>55</v>
      </c>
      <c r="F56" s="8">
        <v>6.74</v>
      </c>
      <c r="G56" s="12">
        <v>9</v>
      </c>
      <c r="H56" s="8">
        <v>0.6</v>
      </c>
      <c r="I56" s="12">
        <v>0</v>
      </c>
    </row>
    <row r="57" spans="2:9" ht="15" customHeight="1" x14ac:dyDescent="0.15">
      <c r="B57" t="s">
        <v>156</v>
      </c>
      <c r="C57" s="12">
        <v>61</v>
      </c>
      <c r="D57" s="8">
        <v>2.63</v>
      </c>
      <c r="E57" s="12">
        <v>38</v>
      </c>
      <c r="F57" s="8">
        <v>4.66</v>
      </c>
      <c r="G57" s="12">
        <v>23</v>
      </c>
      <c r="H57" s="8">
        <v>1.53</v>
      </c>
      <c r="I57" s="12">
        <v>0</v>
      </c>
    </row>
    <row r="58" spans="2:9" ht="15" customHeight="1" x14ac:dyDescent="0.15">
      <c r="B58" t="s">
        <v>153</v>
      </c>
      <c r="C58" s="12">
        <v>54</v>
      </c>
      <c r="D58" s="8">
        <v>2.33</v>
      </c>
      <c r="E58" s="12">
        <v>19</v>
      </c>
      <c r="F58" s="8">
        <v>2.33</v>
      </c>
      <c r="G58" s="12">
        <v>35</v>
      </c>
      <c r="H58" s="8">
        <v>2.33</v>
      </c>
      <c r="I58" s="12">
        <v>0</v>
      </c>
    </row>
    <row r="59" spans="2:9" ht="15" customHeight="1" x14ac:dyDescent="0.15">
      <c r="B59" t="s">
        <v>151</v>
      </c>
      <c r="C59" s="12">
        <v>52</v>
      </c>
      <c r="D59" s="8">
        <v>2.25</v>
      </c>
      <c r="E59" s="12">
        <v>48</v>
      </c>
      <c r="F59" s="8">
        <v>5.88</v>
      </c>
      <c r="G59" s="12">
        <v>4</v>
      </c>
      <c r="H59" s="8">
        <v>0.27</v>
      </c>
      <c r="I59" s="12">
        <v>0</v>
      </c>
    </row>
    <row r="60" spans="2:9" ht="15" customHeight="1" x14ac:dyDescent="0.15">
      <c r="B60" t="s">
        <v>140</v>
      </c>
      <c r="C60" s="12">
        <v>50</v>
      </c>
      <c r="D60" s="8">
        <v>2.16</v>
      </c>
      <c r="E60" s="12">
        <v>5</v>
      </c>
      <c r="F60" s="8">
        <v>0.61</v>
      </c>
      <c r="G60" s="12">
        <v>45</v>
      </c>
      <c r="H60" s="8">
        <v>3</v>
      </c>
      <c r="I60" s="12">
        <v>0</v>
      </c>
    </row>
    <row r="61" spans="2:9" ht="15" customHeight="1" x14ac:dyDescent="0.15">
      <c r="B61" t="s">
        <v>141</v>
      </c>
      <c r="C61" s="12">
        <v>50</v>
      </c>
      <c r="D61" s="8">
        <v>2.16</v>
      </c>
      <c r="E61" s="12">
        <v>3</v>
      </c>
      <c r="F61" s="8">
        <v>0.37</v>
      </c>
      <c r="G61" s="12">
        <v>47</v>
      </c>
      <c r="H61" s="8">
        <v>3.13</v>
      </c>
      <c r="I61" s="12">
        <v>0</v>
      </c>
    </row>
    <row r="62" spans="2:9" ht="15" customHeight="1" x14ac:dyDescent="0.15">
      <c r="B62" t="s">
        <v>138</v>
      </c>
      <c r="C62" s="12">
        <v>46</v>
      </c>
      <c r="D62" s="8">
        <v>1.99</v>
      </c>
      <c r="E62" s="12">
        <v>6</v>
      </c>
      <c r="F62" s="8">
        <v>0.74</v>
      </c>
      <c r="G62" s="12">
        <v>40</v>
      </c>
      <c r="H62" s="8">
        <v>2.67</v>
      </c>
      <c r="I62" s="12">
        <v>0</v>
      </c>
    </row>
    <row r="63" spans="2:9" ht="15" customHeight="1" x14ac:dyDescent="0.15">
      <c r="B63" t="s">
        <v>157</v>
      </c>
      <c r="C63" s="12">
        <v>42</v>
      </c>
      <c r="D63" s="8">
        <v>1.81</v>
      </c>
      <c r="E63" s="12">
        <v>29</v>
      </c>
      <c r="F63" s="8">
        <v>3.55</v>
      </c>
      <c r="G63" s="12">
        <v>13</v>
      </c>
      <c r="H63" s="8">
        <v>0.87</v>
      </c>
      <c r="I63" s="12">
        <v>0</v>
      </c>
    </row>
    <row r="64" spans="2:9" ht="15" customHeight="1" x14ac:dyDescent="0.15">
      <c r="B64" t="s">
        <v>158</v>
      </c>
      <c r="C64" s="12">
        <v>41</v>
      </c>
      <c r="D64" s="8">
        <v>1.77</v>
      </c>
      <c r="E64" s="12">
        <v>5</v>
      </c>
      <c r="F64" s="8">
        <v>0.61</v>
      </c>
      <c r="G64" s="12">
        <v>36</v>
      </c>
      <c r="H64" s="8">
        <v>2.4</v>
      </c>
      <c r="I64" s="12">
        <v>0</v>
      </c>
    </row>
    <row r="65" spans="2:9" ht="15" customHeight="1" x14ac:dyDescent="0.15">
      <c r="B65" t="s">
        <v>146</v>
      </c>
      <c r="C65" s="12">
        <v>41</v>
      </c>
      <c r="D65" s="8">
        <v>1.77</v>
      </c>
      <c r="E65" s="12">
        <v>4</v>
      </c>
      <c r="F65" s="8">
        <v>0.49</v>
      </c>
      <c r="G65" s="12">
        <v>37</v>
      </c>
      <c r="H65" s="8">
        <v>2.4700000000000002</v>
      </c>
      <c r="I65" s="12">
        <v>0</v>
      </c>
    </row>
    <row r="66" spans="2:9" ht="15" customHeight="1" x14ac:dyDescent="0.15">
      <c r="B66" t="s">
        <v>150</v>
      </c>
      <c r="C66" s="12">
        <v>39</v>
      </c>
      <c r="D66" s="8">
        <v>1.68</v>
      </c>
      <c r="E66" s="12">
        <v>32</v>
      </c>
      <c r="F66" s="8">
        <v>3.92</v>
      </c>
      <c r="G66" s="12">
        <v>7</v>
      </c>
      <c r="H66" s="8">
        <v>0.47</v>
      </c>
      <c r="I66" s="12">
        <v>0</v>
      </c>
    </row>
    <row r="67" spans="2:9" ht="15" customHeight="1" x14ac:dyDescent="0.15">
      <c r="B67" t="s">
        <v>145</v>
      </c>
      <c r="C67" s="12">
        <v>37</v>
      </c>
      <c r="D67" s="8">
        <v>1.6</v>
      </c>
      <c r="E67" s="12">
        <v>17</v>
      </c>
      <c r="F67" s="8">
        <v>2.08</v>
      </c>
      <c r="G67" s="12">
        <v>20</v>
      </c>
      <c r="H67" s="8">
        <v>1.33</v>
      </c>
      <c r="I67" s="12">
        <v>0</v>
      </c>
    </row>
    <row r="68" spans="2:9" ht="15" customHeight="1" x14ac:dyDescent="0.15">
      <c r="B68" t="s">
        <v>175</v>
      </c>
      <c r="C68" s="12">
        <v>37</v>
      </c>
      <c r="D68" s="8">
        <v>1.6</v>
      </c>
      <c r="E68" s="12">
        <v>22</v>
      </c>
      <c r="F68" s="8">
        <v>2.7</v>
      </c>
      <c r="G68" s="12">
        <v>15</v>
      </c>
      <c r="H68" s="8">
        <v>1</v>
      </c>
      <c r="I68" s="12">
        <v>0</v>
      </c>
    </row>
    <row r="69" spans="2:9" ht="15" customHeight="1" x14ac:dyDescent="0.15">
      <c r="B69" t="s">
        <v>143</v>
      </c>
      <c r="C69" s="12">
        <v>31</v>
      </c>
      <c r="D69" s="8">
        <v>1.34</v>
      </c>
      <c r="E69" s="12">
        <v>16</v>
      </c>
      <c r="F69" s="8">
        <v>1.96</v>
      </c>
      <c r="G69" s="12">
        <v>15</v>
      </c>
      <c r="H69" s="8">
        <v>1</v>
      </c>
      <c r="I69" s="12">
        <v>0</v>
      </c>
    </row>
    <row r="70" spans="2:9" ht="15" customHeight="1" x14ac:dyDescent="0.15">
      <c r="B70" t="s">
        <v>144</v>
      </c>
      <c r="C70" s="12">
        <v>31</v>
      </c>
      <c r="D70" s="8">
        <v>1.34</v>
      </c>
      <c r="E70" s="12">
        <v>6</v>
      </c>
      <c r="F70" s="8">
        <v>0.74</v>
      </c>
      <c r="G70" s="12">
        <v>25</v>
      </c>
      <c r="H70" s="8">
        <v>1.67</v>
      </c>
      <c r="I70" s="12">
        <v>0</v>
      </c>
    </row>
    <row r="71" spans="2:9" ht="15" customHeight="1" x14ac:dyDescent="0.15">
      <c r="B71" t="s">
        <v>178</v>
      </c>
      <c r="C71" s="12">
        <v>30</v>
      </c>
      <c r="D71" s="8">
        <v>1.3</v>
      </c>
      <c r="E71" s="12">
        <v>6</v>
      </c>
      <c r="F71" s="8">
        <v>0.74</v>
      </c>
      <c r="G71" s="12">
        <v>24</v>
      </c>
      <c r="H71" s="8">
        <v>1.6</v>
      </c>
      <c r="I71" s="12">
        <v>0</v>
      </c>
    </row>
    <row r="72" spans="2:9" ht="15" customHeight="1" x14ac:dyDescent="0.15">
      <c r="B72" t="s">
        <v>163</v>
      </c>
      <c r="C72" s="12">
        <v>30</v>
      </c>
      <c r="D72" s="8">
        <v>1.3</v>
      </c>
      <c r="E72" s="12">
        <v>26</v>
      </c>
      <c r="F72" s="8">
        <v>3.19</v>
      </c>
      <c r="G72" s="12">
        <v>4</v>
      </c>
      <c r="H72" s="8">
        <v>0.27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232</v>
      </c>
      <c r="D6" s="8">
        <v>12.44</v>
      </c>
      <c r="E6" s="12">
        <v>28</v>
      </c>
      <c r="F6" s="8">
        <v>4.1500000000000004</v>
      </c>
      <c r="G6" s="12">
        <v>204</v>
      </c>
      <c r="H6" s="8">
        <v>17.2</v>
      </c>
      <c r="I6" s="12">
        <v>0</v>
      </c>
    </row>
    <row r="7" spans="2:9" ht="15" customHeight="1" x14ac:dyDescent="0.15">
      <c r="B7" t="s">
        <v>64</v>
      </c>
      <c r="C7" s="12">
        <v>104</v>
      </c>
      <c r="D7" s="8">
        <v>5.58</v>
      </c>
      <c r="E7" s="12">
        <v>30</v>
      </c>
      <c r="F7" s="8">
        <v>4.4400000000000004</v>
      </c>
      <c r="G7" s="12">
        <v>74</v>
      </c>
      <c r="H7" s="8">
        <v>6.24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51</v>
      </c>
      <c r="D9" s="8">
        <v>2.73</v>
      </c>
      <c r="E9" s="12">
        <v>0</v>
      </c>
      <c r="F9" s="8">
        <v>0</v>
      </c>
      <c r="G9" s="12">
        <v>51</v>
      </c>
      <c r="H9" s="8">
        <v>4.3</v>
      </c>
      <c r="I9" s="12">
        <v>0</v>
      </c>
    </row>
    <row r="10" spans="2:9" ht="15" customHeight="1" x14ac:dyDescent="0.15">
      <c r="B10" t="s">
        <v>67</v>
      </c>
      <c r="C10" s="12">
        <v>29</v>
      </c>
      <c r="D10" s="8">
        <v>1.55</v>
      </c>
      <c r="E10" s="12">
        <v>21</v>
      </c>
      <c r="F10" s="8">
        <v>3.11</v>
      </c>
      <c r="G10" s="12">
        <v>8</v>
      </c>
      <c r="H10" s="8">
        <v>0.67</v>
      </c>
      <c r="I10" s="12">
        <v>0</v>
      </c>
    </row>
    <row r="11" spans="2:9" ht="15" customHeight="1" x14ac:dyDescent="0.15">
      <c r="B11" t="s">
        <v>68</v>
      </c>
      <c r="C11" s="12">
        <v>368</v>
      </c>
      <c r="D11" s="8">
        <v>19.73</v>
      </c>
      <c r="E11" s="12">
        <v>102</v>
      </c>
      <c r="F11" s="8">
        <v>15.11</v>
      </c>
      <c r="G11" s="12">
        <v>265</v>
      </c>
      <c r="H11" s="8">
        <v>22.34</v>
      </c>
      <c r="I11" s="12">
        <v>1</v>
      </c>
    </row>
    <row r="12" spans="2:9" ht="15" customHeight="1" x14ac:dyDescent="0.15">
      <c r="B12" t="s">
        <v>69</v>
      </c>
      <c r="C12" s="12">
        <v>14</v>
      </c>
      <c r="D12" s="8">
        <v>0.75</v>
      </c>
      <c r="E12" s="12">
        <v>0</v>
      </c>
      <c r="F12" s="8">
        <v>0</v>
      </c>
      <c r="G12" s="12">
        <v>14</v>
      </c>
      <c r="H12" s="8">
        <v>1.18</v>
      </c>
      <c r="I12" s="12">
        <v>0</v>
      </c>
    </row>
    <row r="13" spans="2:9" ht="15" customHeight="1" x14ac:dyDescent="0.15">
      <c r="B13" t="s">
        <v>70</v>
      </c>
      <c r="C13" s="12">
        <v>241</v>
      </c>
      <c r="D13" s="8">
        <v>12.92</v>
      </c>
      <c r="E13" s="12">
        <v>84</v>
      </c>
      <c r="F13" s="8">
        <v>12.44</v>
      </c>
      <c r="G13" s="12">
        <v>157</v>
      </c>
      <c r="H13" s="8">
        <v>13.24</v>
      </c>
      <c r="I13" s="12">
        <v>0</v>
      </c>
    </row>
    <row r="14" spans="2:9" ht="15" customHeight="1" x14ac:dyDescent="0.15">
      <c r="B14" t="s">
        <v>71</v>
      </c>
      <c r="C14" s="12">
        <v>181</v>
      </c>
      <c r="D14" s="8">
        <v>9.7100000000000009</v>
      </c>
      <c r="E14" s="12">
        <v>45</v>
      </c>
      <c r="F14" s="8">
        <v>6.67</v>
      </c>
      <c r="G14" s="12">
        <v>135</v>
      </c>
      <c r="H14" s="8">
        <v>11.38</v>
      </c>
      <c r="I14" s="12">
        <v>1</v>
      </c>
    </row>
    <row r="15" spans="2:9" ht="15" customHeight="1" x14ac:dyDescent="0.15">
      <c r="B15" t="s">
        <v>72</v>
      </c>
      <c r="C15" s="12">
        <v>162</v>
      </c>
      <c r="D15" s="8">
        <v>8.69</v>
      </c>
      <c r="E15" s="12">
        <v>103</v>
      </c>
      <c r="F15" s="8">
        <v>15.26</v>
      </c>
      <c r="G15" s="12">
        <v>59</v>
      </c>
      <c r="H15" s="8">
        <v>4.97</v>
      </c>
      <c r="I15" s="12">
        <v>0</v>
      </c>
    </row>
    <row r="16" spans="2:9" ht="15" customHeight="1" x14ac:dyDescent="0.15">
      <c r="B16" t="s">
        <v>73</v>
      </c>
      <c r="C16" s="12">
        <v>192</v>
      </c>
      <c r="D16" s="8">
        <v>10.29</v>
      </c>
      <c r="E16" s="12">
        <v>105</v>
      </c>
      <c r="F16" s="8">
        <v>15.56</v>
      </c>
      <c r="G16" s="12">
        <v>87</v>
      </c>
      <c r="H16" s="8">
        <v>7.34</v>
      </c>
      <c r="I16" s="12">
        <v>0</v>
      </c>
    </row>
    <row r="17" spans="2:9" ht="15" customHeight="1" x14ac:dyDescent="0.15">
      <c r="B17" t="s">
        <v>74</v>
      </c>
      <c r="C17" s="12">
        <v>99</v>
      </c>
      <c r="D17" s="8">
        <v>5.31</v>
      </c>
      <c r="E17" s="12">
        <v>61</v>
      </c>
      <c r="F17" s="8">
        <v>9.0399999999999991</v>
      </c>
      <c r="G17" s="12">
        <v>37</v>
      </c>
      <c r="H17" s="8">
        <v>3.12</v>
      </c>
      <c r="I17" s="12">
        <v>1</v>
      </c>
    </row>
    <row r="18" spans="2:9" ht="15" customHeight="1" x14ac:dyDescent="0.15">
      <c r="B18" t="s">
        <v>75</v>
      </c>
      <c r="C18" s="12">
        <v>128</v>
      </c>
      <c r="D18" s="8">
        <v>6.86</v>
      </c>
      <c r="E18" s="12">
        <v>79</v>
      </c>
      <c r="F18" s="8">
        <v>11.7</v>
      </c>
      <c r="G18" s="12">
        <v>49</v>
      </c>
      <c r="H18" s="8">
        <v>4.13</v>
      </c>
      <c r="I18" s="12">
        <v>0</v>
      </c>
    </row>
    <row r="19" spans="2:9" ht="15" customHeight="1" x14ac:dyDescent="0.15">
      <c r="B19" t="s">
        <v>76</v>
      </c>
      <c r="C19" s="12">
        <v>64</v>
      </c>
      <c r="D19" s="8">
        <v>3.43</v>
      </c>
      <c r="E19" s="12">
        <v>17</v>
      </c>
      <c r="F19" s="8">
        <v>2.52</v>
      </c>
      <c r="G19" s="12">
        <v>46</v>
      </c>
      <c r="H19" s="8">
        <v>3.88</v>
      </c>
      <c r="I19" s="12">
        <v>1</v>
      </c>
    </row>
    <row r="20" spans="2:9" ht="15" customHeight="1" x14ac:dyDescent="0.15">
      <c r="B20" s="9" t="s">
        <v>216</v>
      </c>
      <c r="C20" s="12">
        <f>SUM(LTBL_14137[総数／事業所数])</f>
        <v>1865</v>
      </c>
      <c r="E20" s="12">
        <f>SUBTOTAL(109,LTBL_14137[個人／事業所数])</f>
        <v>675</v>
      </c>
      <c r="G20" s="12">
        <f>SUBTOTAL(109,LTBL_14137[法人／事業所数])</f>
        <v>1186</v>
      </c>
      <c r="I20" s="12">
        <f>SUBTOTAL(109,LTBL_14137[法人以外の団体／事業所数])</f>
        <v>4</v>
      </c>
    </row>
    <row r="21" spans="2:9" ht="15" customHeight="1" x14ac:dyDescent="0.15">
      <c r="E21" s="11">
        <f>LTBL_14137[[#Totals],[個人／事業所数]]/LTBL_14137[[#Totals],[総数／事業所数]]</f>
        <v>0.36193029490616624</v>
      </c>
      <c r="G21" s="11">
        <f>LTBL_14137[[#Totals],[法人／事業所数]]/LTBL_14137[[#Totals],[総数／事業所数]]</f>
        <v>0.63592493297587127</v>
      </c>
      <c r="I21" s="11">
        <f>LTBL_14137[[#Totals],[法人以外の団体／事業所数]]/LTBL_14137[[#Totals],[総数／事業所数]]</f>
        <v>2.1447721179624667E-3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320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7</v>
      </c>
      <c r="D24" t="s">
        <v>217</v>
      </c>
      <c r="E24">
        <v>0</v>
      </c>
      <c r="F24" t="s">
        <v>219</v>
      </c>
      <c r="G24">
        <v>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321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203</v>
      </c>
      <c r="D29" s="8">
        <v>10.88</v>
      </c>
      <c r="E29" s="12">
        <v>83</v>
      </c>
      <c r="F29" s="8">
        <v>12.3</v>
      </c>
      <c r="G29" s="12">
        <v>120</v>
      </c>
      <c r="H29" s="8">
        <v>10.119999999999999</v>
      </c>
      <c r="I29" s="12">
        <v>0</v>
      </c>
    </row>
    <row r="30" spans="2:9" ht="15" customHeight="1" x14ac:dyDescent="0.15">
      <c r="B30" t="s">
        <v>100</v>
      </c>
      <c r="C30" s="12">
        <v>143</v>
      </c>
      <c r="D30" s="8">
        <v>7.67</v>
      </c>
      <c r="E30" s="12">
        <v>93</v>
      </c>
      <c r="F30" s="8">
        <v>13.78</v>
      </c>
      <c r="G30" s="12">
        <v>50</v>
      </c>
      <c r="H30" s="8">
        <v>4.22</v>
      </c>
      <c r="I30" s="12">
        <v>0</v>
      </c>
    </row>
    <row r="31" spans="2:9" ht="15" customHeight="1" x14ac:dyDescent="0.15">
      <c r="B31" t="s">
        <v>99</v>
      </c>
      <c r="C31" s="12">
        <v>138</v>
      </c>
      <c r="D31" s="8">
        <v>7.4</v>
      </c>
      <c r="E31" s="12">
        <v>102</v>
      </c>
      <c r="F31" s="8">
        <v>15.11</v>
      </c>
      <c r="G31" s="12">
        <v>36</v>
      </c>
      <c r="H31" s="8">
        <v>3.04</v>
      </c>
      <c r="I31" s="12">
        <v>0</v>
      </c>
    </row>
    <row r="32" spans="2:9" ht="15" customHeight="1" x14ac:dyDescent="0.15">
      <c r="B32" t="s">
        <v>85</v>
      </c>
      <c r="C32" s="12">
        <v>106</v>
      </c>
      <c r="D32" s="8">
        <v>5.68</v>
      </c>
      <c r="E32" s="12">
        <v>16</v>
      </c>
      <c r="F32" s="8">
        <v>2.37</v>
      </c>
      <c r="G32" s="12">
        <v>90</v>
      </c>
      <c r="H32" s="8">
        <v>7.59</v>
      </c>
      <c r="I32" s="12">
        <v>0</v>
      </c>
    </row>
    <row r="33" spans="2:9" ht="15" customHeight="1" x14ac:dyDescent="0.15">
      <c r="B33" t="s">
        <v>97</v>
      </c>
      <c r="C33" s="12">
        <v>106</v>
      </c>
      <c r="D33" s="8">
        <v>5.68</v>
      </c>
      <c r="E33" s="12">
        <v>31</v>
      </c>
      <c r="F33" s="8">
        <v>4.59</v>
      </c>
      <c r="G33" s="12">
        <v>74</v>
      </c>
      <c r="H33" s="8">
        <v>6.24</v>
      </c>
      <c r="I33" s="12">
        <v>1</v>
      </c>
    </row>
    <row r="34" spans="2:9" ht="15" customHeight="1" x14ac:dyDescent="0.15">
      <c r="B34" t="s">
        <v>102</v>
      </c>
      <c r="C34" s="12">
        <v>99</v>
      </c>
      <c r="D34" s="8">
        <v>5.31</v>
      </c>
      <c r="E34" s="12">
        <v>61</v>
      </c>
      <c r="F34" s="8">
        <v>9.0399999999999991</v>
      </c>
      <c r="G34" s="12">
        <v>37</v>
      </c>
      <c r="H34" s="8">
        <v>3.12</v>
      </c>
      <c r="I34" s="12">
        <v>1</v>
      </c>
    </row>
    <row r="35" spans="2:9" ht="15" customHeight="1" x14ac:dyDescent="0.15">
      <c r="B35" t="s">
        <v>94</v>
      </c>
      <c r="C35" s="12">
        <v>97</v>
      </c>
      <c r="D35" s="8">
        <v>5.2</v>
      </c>
      <c r="E35" s="12">
        <v>28</v>
      </c>
      <c r="F35" s="8">
        <v>4.1500000000000004</v>
      </c>
      <c r="G35" s="12">
        <v>69</v>
      </c>
      <c r="H35" s="8">
        <v>5.82</v>
      </c>
      <c r="I35" s="12">
        <v>0</v>
      </c>
    </row>
    <row r="36" spans="2:9" ht="15" customHeight="1" x14ac:dyDescent="0.15">
      <c r="B36" t="s">
        <v>103</v>
      </c>
      <c r="C36" s="12">
        <v>94</v>
      </c>
      <c r="D36" s="8">
        <v>5.04</v>
      </c>
      <c r="E36" s="12">
        <v>78</v>
      </c>
      <c r="F36" s="8">
        <v>11.56</v>
      </c>
      <c r="G36" s="12">
        <v>16</v>
      </c>
      <c r="H36" s="8">
        <v>1.35</v>
      </c>
      <c r="I36" s="12">
        <v>0</v>
      </c>
    </row>
    <row r="37" spans="2:9" ht="15" customHeight="1" x14ac:dyDescent="0.15">
      <c r="B37" t="s">
        <v>92</v>
      </c>
      <c r="C37" s="12">
        <v>69</v>
      </c>
      <c r="D37" s="8">
        <v>3.7</v>
      </c>
      <c r="E37" s="12">
        <v>39</v>
      </c>
      <c r="F37" s="8">
        <v>5.78</v>
      </c>
      <c r="G37" s="12">
        <v>29</v>
      </c>
      <c r="H37" s="8">
        <v>2.4500000000000002</v>
      </c>
      <c r="I37" s="12">
        <v>1</v>
      </c>
    </row>
    <row r="38" spans="2:9" ht="15" customHeight="1" x14ac:dyDescent="0.15">
      <c r="B38" t="s">
        <v>86</v>
      </c>
      <c r="C38" s="12">
        <v>65</v>
      </c>
      <c r="D38" s="8">
        <v>3.49</v>
      </c>
      <c r="E38" s="12">
        <v>10</v>
      </c>
      <c r="F38" s="8">
        <v>1.48</v>
      </c>
      <c r="G38" s="12">
        <v>55</v>
      </c>
      <c r="H38" s="8">
        <v>4.6399999999999997</v>
      </c>
      <c r="I38" s="12">
        <v>0</v>
      </c>
    </row>
    <row r="39" spans="2:9" ht="15" customHeight="1" x14ac:dyDescent="0.15">
      <c r="B39" t="s">
        <v>98</v>
      </c>
      <c r="C39" s="12">
        <v>63</v>
      </c>
      <c r="D39" s="8">
        <v>3.38</v>
      </c>
      <c r="E39" s="12">
        <v>13</v>
      </c>
      <c r="F39" s="8">
        <v>1.93</v>
      </c>
      <c r="G39" s="12">
        <v>50</v>
      </c>
      <c r="H39" s="8">
        <v>4.22</v>
      </c>
      <c r="I39" s="12">
        <v>0</v>
      </c>
    </row>
    <row r="40" spans="2:9" ht="15" customHeight="1" x14ac:dyDescent="0.15">
      <c r="B40" t="s">
        <v>87</v>
      </c>
      <c r="C40" s="12">
        <v>61</v>
      </c>
      <c r="D40" s="8">
        <v>3.27</v>
      </c>
      <c r="E40" s="12">
        <v>2</v>
      </c>
      <c r="F40" s="8">
        <v>0.3</v>
      </c>
      <c r="G40" s="12">
        <v>59</v>
      </c>
      <c r="H40" s="8">
        <v>4.97</v>
      </c>
      <c r="I40" s="12">
        <v>0</v>
      </c>
    </row>
    <row r="41" spans="2:9" ht="15" customHeight="1" x14ac:dyDescent="0.15">
      <c r="B41" t="s">
        <v>91</v>
      </c>
      <c r="C41" s="12">
        <v>56</v>
      </c>
      <c r="D41" s="8">
        <v>3</v>
      </c>
      <c r="E41" s="12">
        <v>13</v>
      </c>
      <c r="F41" s="8">
        <v>1.93</v>
      </c>
      <c r="G41" s="12">
        <v>43</v>
      </c>
      <c r="H41" s="8">
        <v>3.63</v>
      </c>
      <c r="I41" s="12">
        <v>0</v>
      </c>
    </row>
    <row r="42" spans="2:9" ht="15" customHeight="1" x14ac:dyDescent="0.15">
      <c r="B42" t="s">
        <v>93</v>
      </c>
      <c r="C42" s="12">
        <v>36</v>
      </c>
      <c r="D42" s="8">
        <v>1.93</v>
      </c>
      <c r="E42" s="12">
        <v>12</v>
      </c>
      <c r="F42" s="8">
        <v>1.78</v>
      </c>
      <c r="G42" s="12">
        <v>24</v>
      </c>
      <c r="H42" s="8">
        <v>2.02</v>
      </c>
      <c r="I42" s="12">
        <v>0</v>
      </c>
    </row>
    <row r="43" spans="2:9" ht="15" customHeight="1" x14ac:dyDescent="0.15">
      <c r="B43" t="s">
        <v>108</v>
      </c>
      <c r="C43" s="12">
        <v>34</v>
      </c>
      <c r="D43" s="8">
        <v>1.82</v>
      </c>
      <c r="E43" s="12">
        <v>1</v>
      </c>
      <c r="F43" s="8">
        <v>0.15</v>
      </c>
      <c r="G43" s="12">
        <v>33</v>
      </c>
      <c r="H43" s="8">
        <v>2.78</v>
      </c>
      <c r="I43" s="12">
        <v>0</v>
      </c>
    </row>
    <row r="44" spans="2:9" ht="15" customHeight="1" x14ac:dyDescent="0.15">
      <c r="B44" t="s">
        <v>95</v>
      </c>
      <c r="C44" s="12">
        <v>33</v>
      </c>
      <c r="D44" s="8">
        <v>1.77</v>
      </c>
      <c r="E44" s="12">
        <v>1</v>
      </c>
      <c r="F44" s="8">
        <v>0.15</v>
      </c>
      <c r="G44" s="12">
        <v>32</v>
      </c>
      <c r="H44" s="8">
        <v>2.7</v>
      </c>
      <c r="I44" s="12">
        <v>0</v>
      </c>
    </row>
    <row r="45" spans="2:9" ht="15" customHeight="1" x14ac:dyDescent="0.15">
      <c r="B45" t="s">
        <v>90</v>
      </c>
      <c r="C45" s="12">
        <v>32</v>
      </c>
      <c r="D45" s="8">
        <v>1.72</v>
      </c>
      <c r="E45" s="12">
        <v>2</v>
      </c>
      <c r="F45" s="8">
        <v>0.3</v>
      </c>
      <c r="G45" s="12">
        <v>30</v>
      </c>
      <c r="H45" s="8">
        <v>2.5299999999999998</v>
      </c>
      <c r="I45" s="12">
        <v>0</v>
      </c>
    </row>
    <row r="46" spans="2:9" ht="15" customHeight="1" x14ac:dyDescent="0.15">
      <c r="B46" t="s">
        <v>109</v>
      </c>
      <c r="C46" s="12">
        <v>30</v>
      </c>
      <c r="D46" s="8">
        <v>1.61</v>
      </c>
      <c r="E46" s="12">
        <v>0</v>
      </c>
      <c r="F46" s="8">
        <v>0</v>
      </c>
      <c r="G46" s="12">
        <v>30</v>
      </c>
      <c r="H46" s="8">
        <v>2.5299999999999998</v>
      </c>
      <c r="I46" s="12">
        <v>0</v>
      </c>
    </row>
    <row r="47" spans="2:9" ht="15" customHeight="1" x14ac:dyDescent="0.15">
      <c r="B47" t="s">
        <v>104</v>
      </c>
      <c r="C47" s="12">
        <v>29</v>
      </c>
      <c r="D47" s="8">
        <v>1.55</v>
      </c>
      <c r="E47" s="12">
        <v>2</v>
      </c>
      <c r="F47" s="8">
        <v>0.3</v>
      </c>
      <c r="G47" s="12">
        <v>27</v>
      </c>
      <c r="H47" s="8">
        <v>2.2799999999999998</v>
      </c>
      <c r="I47" s="12">
        <v>0</v>
      </c>
    </row>
    <row r="48" spans="2:9" ht="15" customHeight="1" x14ac:dyDescent="0.15">
      <c r="B48" t="s">
        <v>101</v>
      </c>
      <c r="C48" s="12">
        <v>25</v>
      </c>
      <c r="D48" s="8">
        <v>1.34</v>
      </c>
      <c r="E48" s="12">
        <v>8</v>
      </c>
      <c r="F48" s="8">
        <v>1.19</v>
      </c>
      <c r="G48" s="12">
        <v>17</v>
      </c>
      <c r="H48" s="8">
        <v>1.43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123</v>
      </c>
      <c r="D52" s="8">
        <v>6.6</v>
      </c>
      <c r="E52" s="12">
        <v>77</v>
      </c>
      <c r="F52" s="8">
        <v>11.41</v>
      </c>
      <c r="G52" s="12">
        <v>46</v>
      </c>
      <c r="H52" s="8">
        <v>3.88</v>
      </c>
      <c r="I52" s="12">
        <v>0</v>
      </c>
    </row>
    <row r="53" spans="2:9" ht="15" customHeight="1" x14ac:dyDescent="0.15">
      <c r="B53" t="s">
        <v>155</v>
      </c>
      <c r="C53" s="12">
        <v>69</v>
      </c>
      <c r="D53" s="8">
        <v>3.7</v>
      </c>
      <c r="E53" s="12">
        <v>48</v>
      </c>
      <c r="F53" s="8">
        <v>7.11</v>
      </c>
      <c r="G53" s="12">
        <v>21</v>
      </c>
      <c r="H53" s="8">
        <v>1.77</v>
      </c>
      <c r="I53" s="12">
        <v>0</v>
      </c>
    </row>
    <row r="54" spans="2:9" ht="15" customHeight="1" x14ac:dyDescent="0.15">
      <c r="B54" t="s">
        <v>156</v>
      </c>
      <c r="C54" s="12">
        <v>62</v>
      </c>
      <c r="D54" s="8">
        <v>3.32</v>
      </c>
      <c r="E54" s="12">
        <v>41</v>
      </c>
      <c r="F54" s="8">
        <v>6.07</v>
      </c>
      <c r="G54" s="12">
        <v>20</v>
      </c>
      <c r="H54" s="8">
        <v>1.69</v>
      </c>
      <c r="I54" s="12">
        <v>1</v>
      </c>
    </row>
    <row r="55" spans="2:9" ht="15" customHeight="1" x14ac:dyDescent="0.15">
      <c r="B55" t="s">
        <v>149</v>
      </c>
      <c r="C55" s="12">
        <v>55</v>
      </c>
      <c r="D55" s="8">
        <v>2.95</v>
      </c>
      <c r="E55" s="12">
        <v>2</v>
      </c>
      <c r="F55" s="8">
        <v>0.3</v>
      </c>
      <c r="G55" s="12">
        <v>53</v>
      </c>
      <c r="H55" s="8">
        <v>4.47</v>
      </c>
      <c r="I55" s="12">
        <v>0</v>
      </c>
    </row>
    <row r="56" spans="2:9" ht="15" customHeight="1" x14ac:dyDescent="0.15">
      <c r="B56" t="s">
        <v>157</v>
      </c>
      <c r="C56" s="12">
        <v>48</v>
      </c>
      <c r="D56" s="8">
        <v>2.57</v>
      </c>
      <c r="E56" s="12">
        <v>39</v>
      </c>
      <c r="F56" s="8">
        <v>5.78</v>
      </c>
      <c r="G56" s="12">
        <v>9</v>
      </c>
      <c r="H56" s="8">
        <v>0.76</v>
      </c>
      <c r="I56" s="12">
        <v>0</v>
      </c>
    </row>
    <row r="57" spans="2:9" ht="15" customHeight="1" x14ac:dyDescent="0.15">
      <c r="B57" t="s">
        <v>150</v>
      </c>
      <c r="C57" s="12">
        <v>42</v>
      </c>
      <c r="D57" s="8">
        <v>2.25</v>
      </c>
      <c r="E57" s="12">
        <v>28</v>
      </c>
      <c r="F57" s="8">
        <v>4.1500000000000004</v>
      </c>
      <c r="G57" s="12">
        <v>14</v>
      </c>
      <c r="H57" s="8">
        <v>1.18</v>
      </c>
      <c r="I57" s="12">
        <v>0</v>
      </c>
    </row>
    <row r="58" spans="2:9" ht="15" customHeight="1" x14ac:dyDescent="0.15">
      <c r="B58" t="s">
        <v>163</v>
      </c>
      <c r="C58" s="12">
        <v>41</v>
      </c>
      <c r="D58" s="8">
        <v>2.2000000000000002</v>
      </c>
      <c r="E58" s="12">
        <v>38</v>
      </c>
      <c r="F58" s="8">
        <v>5.63</v>
      </c>
      <c r="G58" s="12">
        <v>3</v>
      </c>
      <c r="H58" s="8">
        <v>0.25</v>
      </c>
      <c r="I58" s="12">
        <v>0</v>
      </c>
    </row>
    <row r="59" spans="2:9" ht="15" customHeight="1" x14ac:dyDescent="0.15">
      <c r="B59" t="s">
        <v>182</v>
      </c>
      <c r="C59" s="12">
        <v>39</v>
      </c>
      <c r="D59" s="8">
        <v>2.09</v>
      </c>
      <c r="E59" s="12">
        <v>2</v>
      </c>
      <c r="F59" s="8">
        <v>0.3</v>
      </c>
      <c r="G59" s="12">
        <v>36</v>
      </c>
      <c r="H59" s="8">
        <v>3.04</v>
      </c>
      <c r="I59" s="12">
        <v>1</v>
      </c>
    </row>
    <row r="60" spans="2:9" ht="15" customHeight="1" x14ac:dyDescent="0.15">
      <c r="B60" t="s">
        <v>151</v>
      </c>
      <c r="C60" s="12">
        <v>34</v>
      </c>
      <c r="D60" s="8">
        <v>1.82</v>
      </c>
      <c r="E60" s="12">
        <v>26</v>
      </c>
      <c r="F60" s="8">
        <v>3.85</v>
      </c>
      <c r="G60" s="12">
        <v>8</v>
      </c>
      <c r="H60" s="8">
        <v>0.67</v>
      </c>
      <c r="I60" s="12">
        <v>0</v>
      </c>
    </row>
    <row r="61" spans="2:9" ht="15" customHeight="1" x14ac:dyDescent="0.15">
      <c r="B61" t="s">
        <v>153</v>
      </c>
      <c r="C61" s="12">
        <v>34</v>
      </c>
      <c r="D61" s="8">
        <v>1.82</v>
      </c>
      <c r="E61" s="12">
        <v>16</v>
      </c>
      <c r="F61" s="8">
        <v>2.37</v>
      </c>
      <c r="G61" s="12">
        <v>18</v>
      </c>
      <c r="H61" s="8">
        <v>1.52</v>
      </c>
      <c r="I61" s="12">
        <v>0</v>
      </c>
    </row>
    <row r="62" spans="2:9" ht="15" customHeight="1" x14ac:dyDescent="0.15">
      <c r="B62" t="s">
        <v>175</v>
      </c>
      <c r="C62" s="12">
        <v>33</v>
      </c>
      <c r="D62" s="8">
        <v>1.77</v>
      </c>
      <c r="E62" s="12">
        <v>20</v>
      </c>
      <c r="F62" s="8">
        <v>2.96</v>
      </c>
      <c r="G62" s="12">
        <v>13</v>
      </c>
      <c r="H62" s="8">
        <v>1.1000000000000001</v>
      </c>
      <c r="I62" s="12">
        <v>0</v>
      </c>
    </row>
    <row r="63" spans="2:9" ht="15" customHeight="1" x14ac:dyDescent="0.15">
      <c r="B63" t="s">
        <v>159</v>
      </c>
      <c r="C63" s="12">
        <v>32</v>
      </c>
      <c r="D63" s="8">
        <v>1.72</v>
      </c>
      <c r="E63" s="12">
        <v>6</v>
      </c>
      <c r="F63" s="8">
        <v>0.89</v>
      </c>
      <c r="G63" s="12">
        <v>26</v>
      </c>
      <c r="H63" s="8">
        <v>2.19</v>
      </c>
      <c r="I63" s="12">
        <v>0</v>
      </c>
    </row>
    <row r="64" spans="2:9" ht="15" customHeight="1" x14ac:dyDescent="0.15">
      <c r="B64" t="s">
        <v>139</v>
      </c>
      <c r="C64" s="12">
        <v>31</v>
      </c>
      <c r="D64" s="8">
        <v>1.66</v>
      </c>
      <c r="E64" s="12">
        <v>3</v>
      </c>
      <c r="F64" s="8">
        <v>0.44</v>
      </c>
      <c r="G64" s="12">
        <v>28</v>
      </c>
      <c r="H64" s="8">
        <v>2.36</v>
      </c>
      <c r="I64" s="12">
        <v>0</v>
      </c>
    </row>
    <row r="65" spans="2:9" ht="15" customHeight="1" x14ac:dyDescent="0.15">
      <c r="B65" t="s">
        <v>161</v>
      </c>
      <c r="C65" s="12">
        <v>31</v>
      </c>
      <c r="D65" s="8">
        <v>1.66</v>
      </c>
      <c r="E65" s="12">
        <v>5</v>
      </c>
      <c r="F65" s="8">
        <v>0.74</v>
      </c>
      <c r="G65" s="12">
        <v>26</v>
      </c>
      <c r="H65" s="8">
        <v>2.19</v>
      </c>
      <c r="I65" s="12">
        <v>0</v>
      </c>
    </row>
    <row r="66" spans="2:9" ht="15" customHeight="1" x14ac:dyDescent="0.15">
      <c r="B66" t="s">
        <v>158</v>
      </c>
      <c r="C66" s="12">
        <v>30</v>
      </c>
      <c r="D66" s="8">
        <v>1.61</v>
      </c>
      <c r="E66" s="12">
        <v>8</v>
      </c>
      <c r="F66" s="8">
        <v>1.19</v>
      </c>
      <c r="G66" s="12">
        <v>22</v>
      </c>
      <c r="H66" s="8">
        <v>1.85</v>
      </c>
      <c r="I66" s="12">
        <v>0</v>
      </c>
    </row>
    <row r="67" spans="2:9" ht="15" customHeight="1" x14ac:dyDescent="0.15">
      <c r="B67" t="s">
        <v>169</v>
      </c>
      <c r="C67" s="12">
        <v>30</v>
      </c>
      <c r="D67" s="8">
        <v>1.61</v>
      </c>
      <c r="E67" s="12">
        <v>0</v>
      </c>
      <c r="F67" s="8">
        <v>0</v>
      </c>
      <c r="G67" s="12">
        <v>30</v>
      </c>
      <c r="H67" s="8">
        <v>2.5299999999999998</v>
      </c>
      <c r="I67" s="12">
        <v>0</v>
      </c>
    </row>
    <row r="68" spans="2:9" ht="15" customHeight="1" x14ac:dyDescent="0.15">
      <c r="B68" t="s">
        <v>154</v>
      </c>
      <c r="C68" s="12">
        <v>29</v>
      </c>
      <c r="D68" s="8">
        <v>1.55</v>
      </c>
      <c r="E68" s="12">
        <v>24</v>
      </c>
      <c r="F68" s="8">
        <v>3.56</v>
      </c>
      <c r="G68" s="12">
        <v>5</v>
      </c>
      <c r="H68" s="8">
        <v>0.42</v>
      </c>
      <c r="I68" s="12">
        <v>0</v>
      </c>
    </row>
    <row r="69" spans="2:9" ht="15" customHeight="1" x14ac:dyDescent="0.15">
      <c r="B69" t="s">
        <v>145</v>
      </c>
      <c r="C69" s="12">
        <v>28</v>
      </c>
      <c r="D69" s="8">
        <v>1.5</v>
      </c>
      <c r="E69" s="12">
        <v>10</v>
      </c>
      <c r="F69" s="8">
        <v>1.48</v>
      </c>
      <c r="G69" s="12">
        <v>18</v>
      </c>
      <c r="H69" s="8">
        <v>1.52</v>
      </c>
      <c r="I69" s="12">
        <v>0</v>
      </c>
    </row>
    <row r="70" spans="2:9" ht="15" customHeight="1" x14ac:dyDescent="0.15">
      <c r="B70" t="s">
        <v>146</v>
      </c>
      <c r="C70" s="12">
        <v>28</v>
      </c>
      <c r="D70" s="8">
        <v>1.5</v>
      </c>
      <c r="E70" s="12">
        <v>1</v>
      </c>
      <c r="F70" s="8">
        <v>0.15</v>
      </c>
      <c r="G70" s="12">
        <v>27</v>
      </c>
      <c r="H70" s="8">
        <v>2.2799999999999998</v>
      </c>
      <c r="I70" s="12">
        <v>0</v>
      </c>
    </row>
    <row r="71" spans="2:9" ht="15" customHeight="1" x14ac:dyDescent="0.15">
      <c r="B71" t="s">
        <v>143</v>
      </c>
      <c r="C71" s="12">
        <v>27</v>
      </c>
      <c r="D71" s="8">
        <v>1.45</v>
      </c>
      <c r="E71" s="12">
        <v>13</v>
      </c>
      <c r="F71" s="8">
        <v>1.93</v>
      </c>
      <c r="G71" s="12">
        <v>14</v>
      </c>
      <c r="H71" s="8">
        <v>1.18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15">
      <c r="B6" t="s">
        <v>63</v>
      </c>
      <c r="C6" s="12">
        <v>2166</v>
      </c>
      <c r="D6" s="8">
        <v>16.34</v>
      </c>
      <c r="E6" s="12">
        <v>515</v>
      </c>
      <c r="F6" s="8">
        <v>8.11</v>
      </c>
      <c r="G6" s="12">
        <v>1651</v>
      </c>
      <c r="H6" s="8">
        <v>23.96</v>
      </c>
      <c r="I6" s="12">
        <v>0</v>
      </c>
    </row>
    <row r="7" spans="2:9" ht="15" customHeight="1" x14ac:dyDescent="0.15">
      <c r="B7" t="s">
        <v>64</v>
      </c>
      <c r="C7" s="12">
        <v>1322</v>
      </c>
      <c r="D7" s="8">
        <v>9.98</v>
      </c>
      <c r="E7" s="12">
        <v>293</v>
      </c>
      <c r="F7" s="8">
        <v>4.6100000000000003</v>
      </c>
      <c r="G7" s="12">
        <v>1029</v>
      </c>
      <c r="H7" s="8">
        <v>14.93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135</v>
      </c>
      <c r="D9" s="8">
        <v>1.02</v>
      </c>
      <c r="E9" s="12">
        <v>9</v>
      </c>
      <c r="F9" s="8">
        <v>0.14000000000000001</v>
      </c>
      <c r="G9" s="12">
        <v>124</v>
      </c>
      <c r="H9" s="8">
        <v>1.8</v>
      </c>
      <c r="I9" s="12">
        <v>2</v>
      </c>
    </row>
    <row r="10" spans="2:9" ht="15" customHeight="1" x14ac:dyDescent="0.15">
      <c r="B10" t="s">
        <v>67</v>
      </c>
      <c r="C10" s="12">
        <v>139</v>
      </c>
      <c r="D10" s="8">
        <v>1.05</v>
      </c>
      <c r="E10" s="12">
        <v>47</v>
      </c>
      <c r="F10" s="8">
        <v>0.74</v>
      </c>
      <c r="G10" s="12">
        <v>92</v>
      </c>
      <c r="H10" s="8">
        <v>1.34</v>
      </c>
      <c r="I10" s="12">
        <v>0</v>
      </c>
    </row>
    <row r="11" spans="2:9" ht="15" customHeight="1" x14ac:dyDescent="0.15">
      <c r="B11" t="s">
        <v>68</v>
      </c>
      <c r="C11" s="12">
        <v>2404</v>
      </c>
      <c r="D11" s="8">
        <v>18.14</v>
      </c>
      <c r="E11" s="12">
        <v>928</v>
      </c>
      <c r="F11" s="8">
        <v>14.62</v>
      </c>
      <c r="G11" s="12">
        <v>1474</v>
      </c>
      <c r="H11" s="8">
        <v>21.39</v>
      </c>
      <c r="I11" s="12">
        <v>2</v>
      </c>
    </row>
    <row r="12" spans="2:9" ht="15" customHeight="1" x14ac:dyDescent="0.15">
      <c r="B12" t="s">
        <v>69</v>
      </c>
      <c r="C12" s="12">
        <v>64</v>
      </c>
      <c r="D12" s="8">
        <v>0.48</v>
      </c>
      <c r="E12" s="12">
        <v>11</v>
      </c>
      <c r="F12" s="8">
        <v>0.17</v>
      </c>
      <c r="G12" s="12">
        <v>53</v>
      </c>
      <c r="H12" s="8">
        <v>0.77</v>
      </c>
      <c r="I12" s="12">
        <v>0</v>
      </c>
    </row>
    <row r="13" spans="2:9" ht="15" customHeight="1" x14ac:dyDescent="0.15">
      <c r="B13" t="s">
        <v>70</v>
      </c>
      <c r="C13" s="12">
        <v>1583</v>
      </c>
      <c r="D13" s="8">
        <v>11.94</v>
      </c>
      <c r="E13" s="12">
        <v>818</v>
      </c>
      <c r="F13" s="8">
        <v>12.88</v>
      </c>
      <c r="G13" s="12">
        <v>763</v>
      </c>
      <c r="H13" s="8">
        <v>11.07</v>
      </c>
      <c r="I13" s="12">
        <v>2</v>
      </c>
    </row>
    <row r="14" spans="2:9" ht="15" customHeight="1" x14ac:dyDescent="0.15">
      <c r="B14" t="s">
        <v>71</v>
      </c>
      <c r="C14" s="12">
        <v>697</v>
      </c>
      <c r="D14" s="8">
        <v>5.26</v>
      </c>
      <c r="E14" s="12">
        <v>338</v>
      </c>
      <c r="F14" s="8">
        <v>5.32</v>
      </c>
      <c r="G14" s="12">
        <v>358</v>
      </c>
      <c r="H14" s="8">
        <v>5.2</v>
      </c>
      <c r="I14" s="12">
        <v>1</v>
      </c>
    </row>
    <row r="15" spans="2:9" ht="15" customHeight="1" x14ac:dyDescent="0.15">
      <c r="B15" t="s">
        <v>72</v>
      </c>
      <c r="C15" s="12">
        <v>1391</v>
      </c>
      <c r="D15" s="8">
        <v>10.5</v>
      </c>
      <c r="E15" s="12">
        <v>1126</v>
      </c>
      <c r="F15" s="8">
        <v>17.739999999999998</v>
      </c>
      <c r="G15" s="12">
        <v>264</v>
      </c>
      <c r="H15" s="8">
        <v>3.83</v>
      </c>
      <c r="I15" s="12">
        <v>1</v>
      </c>
    </row>
    <row r="16" spans="2:9" ht="15" customHeight="1" x14ac:dyDescent="0.15">
      <c r="B16" t="s">
        <v>73</v>
      </c>
      <c r="C16" s="12">
        <v>1617</v>
      </c>
      <c r="D16" s="8">
        <v>12.2</v>
      </c>
      <c r="E16" s="12">
        <v>1223</v>
      </c>
      <c r="F16" s="8">
        <v>19.260000000000002</v>
      </c>
      <c r="G16" s="12">
        <v>393</v>
      </c>
      <c r="H16" s="8">
        <v>5.7</v>
      </c>
      <c r="I16" s="12">
        <v>1</v>
      </c>
    </row>
    <row r="17" spans="2:9" ht="15" customHeight="1" x14ac:dyDescent="0.15">
      <c r="B17" t="s">
        <v>74</v>
      </c>
      <c r="C17" s="12">
        <v>602</v>
      </c>
      <c r="D17" s="8">
        <v>4.54</v>
      </c>
      <c r="E17" s="12">
        <v>458</v>
      </c>
      <c r="F17" s="8">
        <v>7.21</v>
      </c>
      <c r="G17" s="12">
        <v>141</v>
      </c>
      <c r="H17" s="8">
        <v>2.0499999999999998</v>
      </c>
      <c r="I17" s="12">
        <v>3</v>
      </c>
    </row>
    <row r="18" spans="2:9" ht="15" customHeight="1" x14ac:dyDescent="0.15">
      <c r="B18" t="s">
        <v>75</v>
      </c>
      <c r="C18" s="12">
        <v>696</v>
      </c>
      <c r="D18" s="8">
        <v>5.25</v>
      </c>
      <c r="E18" s="12">
        <v>450</v>
      </c>
      <c r="F18" s="8">
        <v>7.09</v>
      </c>
      <c r="G18" s="12">
        <v>245</v>
      </c>
      <c r="H18" s="8">
        <v>3.56</v>
      </c>
      <c r="I18" s="12">
        <v>1</v>
      </c>
    </row>
    <row r="19" spans="2:9" ht="15" customHeight="1" x14ac:dyDescent="0.15">
      <c r="B19" t="s">
        <v>76</v>
      </c>
      <c r="C19" s="12">
        <v>436</v>
      </c>
      <c r="D19" s="8">
        <v>3.29</v>
      </c>
      <c r="E19" s="12">
        <v>133</v>
      </c>
      <c r="F19" s="8">
        <v>2.09</v>
      </c>
      <c r="G19" s="12">
        <v>303</v>
      </c>
      <c r="H19" s="8">
        <v>4.4000000000000004</v>
      </c>
      <c r="I19" s="12">
        <v>0</v>
      </c>
    </row>
    <row r="20" spans="2:9" ht="15" customHeight="1" x14ac:dyDescent="0.15">
      <c r="B20" s="9" t="s">
        <v>216</v>
      </c>
      <c r="C20" s="12">
        <f>SUM(LTBL_14150[総数／事業所数])</f>
        <v>13253</v>
      </c>
      <c r="E20" s="12">
        <f>SUBTOTAL(109,LTBL_14150[個人／事業所数])</f>
        <v>6349</v>
      </c>
      <c r="G20" s="12">
        <f>SUBTOTAL(109,LTBL_14150[法人／事業所数])</f>
        <v>6891</v>
      </c>
      <c r="I20" s="12">
        <f>SUBTOTAL(109,LTBL_14150[法人以外の団体／事業所数])</f>
        <v>13</v>
      </c>
    </row>
    <row r="21" spans="2:9" ht="15" customHeight="1" x14ac:dyDescent="0.15">
      <c r="E21" s="11">
        <f>LTBL_14150[[#Totals],[個人／事業所数]]/LTBL_14150[[#Totals],[総数／事業所数]]</f>
        <v>0.47906134460122235</v>
      </c>
      <c r="G21" s="11">
        <f>LTBL_14150[[#Totals],[法人／事業所数]]/LTBL_14150[[#Totals],[総数／事業所数]]</f>
        <v>0.51995774541613216</v>
      </c>
      <c r="I21" s="11">
        <f>LTBL_14150[[#Totals],[法人以外の団体／事業所数]]/LTBL_14150[[#Totals],[総数／事業所数]]</f>
        <v>9.8090998264543884E-4</v>
      </c>
    </row>
    <row r="23" spans="2:9" ht="33" customHeight="1" x14ac:dyDescent="0.15">
      <c r="B23" t="s">
        <v>215</v>
      </c>
      <c r="C23" s="10" t="s">
        <v>78</v>
      </c>
      <c r="D23" s="10" t="s">
        <v>323</v>
      </c>
      <c r="E23" s="10" t="s">
        <v>80</v>
      </c>
      <c r="F23" s="10" t="s">
        <v>324</v>
      </c>
      <c r="G23" s="10" t="s">
        <v>82</v>
      </c>
      <c r="H23" s="10" t="s">
        <v>325</v>
      </c>
      <c r="I23" s="10" t="s">
        <v>84</v>
      </c>
    </row>
    <row r="24" spans="2:9" ht="15" customHeight="1" x14ac:dyDescent="0.15">
      <c r="B24" t="s">
        <v>218</v>
      </c>
      <c r="C24">
        <v>50</v>
      </c>
      <c r="D24" t="s">
        <v>217</v>
      </c>
      <c r="E24">
        <v>0</v>
      </c>
      <c r="F24" t="s">
        <v>219</v>
      </c>
      <c r="G24">
        <v>49</v>
      </c>
      <c r="H24" t="s">
        <v>220</v>
      </c>
      <c r="I24">
        <v>1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1371</v>
      </c>
      <c r="D29" s="8">
        <v>10.34</v>
      </c>
      <c r="E29" s="12">
        <v>1115</v>
      </c>
      <c r="F29" s="8">
        <v>17.559999999999999</v>
      </c>
      <c r="G29" s="12">
        <v>256</v>
      </c>
      <c r="H29" s="8">
        <v>3.71</v>
      </c>
      <c r="I29" s="12">
        <v>0</v>
      </c>
    </row>
    <row r="30" spans="2:9" ht="15" customHeight="1" x14ac:dyDescent="0.15">
      <c r="B30" t="s">
        <v>99</v>
      </c>
      <c r="C30" s="12">
        <v>1298</v>
      </c>
      <c r="D30" s="8">
        <v>9.7899999999999991</v>
      </c>
      <c r="E30" s="12">
        <v>1103</v>
      </c>
      <c r="F30" s="8">
        <v>17.37</v>
      </c>
      <c r="G30" s="12">
        <v>195</v>
      </c>
      <c r="H30" s="8">
        <v>2.83</v>
      </c>
      <c r="I30" s="12">
        <v>0</v>
      </c>
    </row>
    <row r="31" spans="2:9" ht="15" customHeight="1" x14ac:dyDescent="0.15">
      <c r="B31" t="s">
        <v>96</v>
      </c>
      <c r="C31" s="12">
        <v>1247</v>
      </c>
      <c r="D31" s="8">
        <v>9.41</v>
      </c>
      <c r="E31" s="12">
        <v>798</v>
      </c>
      <c r="F31" s="8">
        <v>12.57</v>
      </c>
      <c r="G31" s="12">
        <v>447</v>
      </c>
      <c r="H31" s="8">
        <v>6.49</v>
      </c>
      <c r="I31" s="12">
        <v>2</v>
      </c>
    </row>
    <row r="32" spans="2:9" ht="15" customHeight="1" x14ac:dyDescent="0.15">
      <c r="B32" t="s">
        <v>86</v>
      </c>
      <c r="C32" s="12">
        <v>817</v>
      </c>
      <c r="D32" s="8">
        <v>6.16</v>
      </c>
      <c r="E32" s="12">
        <v>265</v>
      </c>
      <c r="F32" s="8">
        <v>4.17</v>
      </c>
      <c r="G32" s="12">
        <v>552</v>
      </c>
      <c r="H32" s="8">
        <v>8.01</v>
      </c>
      <c r="I32" s="12">
        <v>0</v>
      </c>
    </row>
    <row r="33" spans="2:9" ht="15" customHeight="1" x14ac:dyDescent="0.15">
      <c r="B33" t="s">
        <v>85</v>
      </c>
      <c r="C33" s="12">
        <v>806</v>
      </c>
      <c r="D33" s="8">
        <v>6.08</v>
      </c>
      <c r="E33" s="12">
        <v>163</v>
      </c>
      <c r="F33" s="8">
        <v>2.57</v>
      </c>
      <c r="G33" s="12">
        <v>643</v>
      </c>
      <c r="H33" s="8">
        <v>9.33</v>
      </c>
      <c r="I33" s="12">
        <v>0</v>
      </c>
    </row>
    <row r="34" spans="2:9" ht="15" customHeight="1" x14ac:dyDescent="0.15">
      <c r="B34" t="s">
        <v>94</v>
      </c>
      <c r="C34" s="12">
        <v>678</v>
      </c>
      <c r="D34" s="8">
        <v>5.12</v>
      </c>
      <c r="E34" s="12">
        <v>299</v>
      </c>
      <c r="F34" s="8">
        <v>4.71</v>
      </c>
      <c r="G34" s="12">
        <v>379</v>
      </c>
      <c r="H34" s="8">
        <v>5.5</v>
      </c>
      <c r="I34" s="12">
        <v>0</v>
      </c>
    </row>
    <row r="35" spans="2:9" ht="15" customHeight="1" x14ac:dyDescent="0.15">
      <c r="B35" t="s">
        <v>102</v>
      </c>
      <c r="C35" s="12">
        <v>602</v>
      </c>
      <c r="D35" s="8">
        <v>4.54</v>
      </c>
      <c r="E35" s="12">
        <v>458</v>
      </c>
      <c r="F35" s="8">
        <v>7.21</v>
      </c>
      <c r="G35" s="12">
        <v>141</v>
      </c>
      <c r="H35" s="8">
        <v>2.0499999999999998</v>
      </c>
      <c r="I35" s="12">
        <v>3</v>
      </c>
    </row>
    <row r="36" spans="2:9" ht="15" customHeight="1" x14ac:dyDescent="0.15">
      <c r="B36" t="s">
        <v>87</v>
      </c>
      <c r="C36" s="12">
        <v>543</v>
      </c>
      <c r="D36" s="8">
        <v>4.0999999999999996</v>
      </c>
      <c r="E36" s="12">
        <v>87</v>
      </c>
      <c r="F36" s="8">
        <v>1.37</v>
      </c>
      <c r="G36" s="12">
        <v>456</v>
      </c>
      <c r="H36" s="8">
        <v>6.62</v>
      </c>
      <c r="I36" s="12">
        <v>0</v>
      </c>
    </row>
    <row r="37" spans="2:9" ht="15" customHeight="1" x14ac:dyDescent="0.15">
      <c r="B37" t="s">
        <v>103</v>
      </c>
      <c r="C37" s="12">
        <v>534</v>
      </c>
      <c r="D37" s="8">
        <v>4.03</v>
      </c>
      <c r="E37" s="12">
        <v>444</v>
      </c>
      <c r="F37" s="8">
        <v>6.99</v>
      </c>
      <c r="G37" s="12">
        <v>90</v>
      </c>
      <c r="H37" s="8">
        <v>1.31</v>
      </c>
      <c r="I37" s="12">
        <v>0</v>
      </c>
    </row>
    <row r="38" spans="2:9" ht="15" customHeight="1" x14ac:dyDescent="0.15">
      <c r="B38" t="s">
        <v>92</v>
      </c>
      <c r="C38" s="12">
        <v>448</v>
      </c>
      <c r="D38" s="8">
        <v>3.38</v>
      </c>
      <c r="E38" s="12">
        <v>276</v>
      </c>
      <c r="F38" s="8">
        <v>4.3499999999999996</v>
      </c>
      <c r="G38" s="12">
        <v>171</v>
      </c>
      <c r="H38" s="8">
        <v>2.48</v>
      </c>
      <c r="I38" s="12">
        <v>1</v>
      </c>
    </row>
    <row r="39" spans="2:9" ht="15" customHeight="1" x14ac:dyDescent="0.15">
      <c r="B39" t="s">
        <v>98</v>
      </c>
      <c r="C39" s="12">
        <v>342</v>
      </c>
      <c r="D39" s="8">
        <v>2.58</v>
      </c>
      <c r="E39" s="12">
        <v>109</v>
      </c>
      <c r="F39" s="8">
        <v>1.72</v>
      </c>
      <c r="G39" s="12">
        <v>233</v>
      </c>
      <c r="H39" s="8">
        <v>3.38</v>
      </c>
      <c r="I39" s="12">
        <v>0</v>
      </c>
    </row>
    <row r="40" spans="2:9" ht="15" customHeight="1" x14ac:dyDescent="0.15">
      <c r="B40" t="s">
        <v>93</v>
      </c>
      <c r="C40" s="12">
        <v>326</v>
      </c>
      <c r="D40" s="8">
        <v>2.46</v>
      </c>
      <c r="E40" s="12">
        <v>137</v>
      </c>
      <c r="F40" s="8">
        <v>2.16</v>
      </c>
      <c r="G40" s="12">
        <v>189</v>
      </c>
      <c r="H40" s="8">
        <v>2.74</v>
      </c>
      <c r="I40" s="12">
        <v>0</v>
      </c>
    </row>
    <row r="41" spans="2:9" ht="15" customHeight="1" x14ac:dyDescent="0.15">
      <c r="B41" t="s">
        <v>97</v>
      </c>
      <c r="C41" s="12">
        <v>326</v>
      </c>
      <c r="D41" s="8">
        <v>2.46</v>
      </c>
      <c r="E41" s="12">
        <v>226</v>
      </c>
      <c r="F41" s="8">
        <v>3.56</v>
      </c>
      <c r="G41" s="12">
        <v>100</v>
      </c>
      <c r="H41" s="8">
        <v>1.45</v>
      </c>
      <c r="I41" s="12">
        <v>0</v>
      </c>
    </row>
    <row r="42" spans="2:9" ht="15" customHeight="1" x14ac:dyDescent="0.15">
      <c r="B42" t="s">
        <v>95</v>
      </c>
      <c r="C42" s="12">
        <v>296</v>
      </c>
      <c r="D42" s="8">
        <v>2.23</v>
      </c>
      <c r="E42" s="12">
        <v>19</v>
      </c>
      <c r="F42" s="8">
        <v>0.3</v>
      </c>
      <c r="G42" s="12">
        <v>277</v>
      </c>
      <c r="H42" s="8">
        <v>4.0199999999999996</v>
      </c>
      <c r="I42" s="12">
        <v>0</v>
      </c>
    </row>
    <row r="43" spans="2:9" ht="15" customHeight="1" x14ac:dyDescent="0.15">
      <c r="B43" t="s">
        <v>91</v>
      </c>
      <c r="C43" s="12">
        <v>271</v>
      </c>
      <c r="D43" s="8">
        <v>2.04</v>
      </c>
      <c r="E43" s="12">
        <v>99</v>
      </c>
      <c r="F43" s="8">
        <v>1.56</v>
      </c>
      <c r="G43" s="12">
        <v>172</v>
      </c>
      <c r="H43" s="8">
        <v>2.5</v>
      </c>
      <c r="I43" s="12">
        <v>0</v>
      </c>
    </row>
    <row r="44" spans="2:9" ht="15" customHeight="1" x14ac:dyDescent="0.15">
      <c r="B44" t="s">
        <v>89</v>
      </c>
      <c r="C44" s="12">
        <v>240</v>
      </c>
      <c r="D44" s="8">
        <v>1.81</v>
      </c>
      <c r="E44" s="12">
        <v>39</v>
      </c>
      <c r="F44" s="8">
        <v>0.61</v>
      </c>
      <c r="G44" s="12">
        <v>201</v>
      </c>
      <c r="H44" s="8">
        <v>2.92</v>
      </c>
      <c r="I44" s="12">
        <v>0</v>
      </c>
    </row>
    <row r="45" spans="2:9" ht="15" customHeight="1" x14ac:dyDescent="0.15">
      <c r="B45" t="s">
        <v>88</v>
      </c>
      <c r="C45" s="12">
        <v>221</v>
      </c>
      <c r="D45" s="8">
        <v>1.67</v>
      </c>
      <c r="E45" s="12">
        <v>43</v>
      </c>
      <c r="F45" s="8">
        <v>0.68</v>
      </c>
      <c r="G45" s="12">
        <v>178</v>
      </c>
      <c r="H45" s="8">
        <v>2.58</v>
      </c>
      <c r="I45" s="12">
        <v>0</v>
      </c>
    </row>
    <row r="46" spans="2:9" ht="15" customHeight="1" x14ac:dyDescent="0.15">
      <c r="B46" t="s">
        <v>90</v>
      </c>
      <c r="C46" s="12">
        <v>176</v>
      </c>
      <c r="D46" s="8">
        <v>1.33</v>
      </c>
      <c r="E46" s="12">
        <v>19</v>
      </c>
      <c r="F46" s="8">
        <v>0.3</v>
      </c>
      <c r="G46" s="12">
        <v>157</v>
      </c>
      <c r="H46" s="8">
        <v>2.2799999999999998</v>
      </c>
      <c r="I46" s="12">
        <v>0</v>
      </c>
    </row>
    <row r="47" spans="2:9" ht="15" customHeight="1" x14ac:dyDescent="0.15">
      <c r="B47" t="s">
        <v>106</v>
      </c>
      <c r="C47" s="12">
        <v>172</v>
      </c>
      <c r="D47" s="8">
        <v>1.3</v>
      </c>
      <c r="E47" s="12">
        <v>29</v>
      </c>
      <c r="F47" s="8">
        <v>0.46</v>
      </c>
      <c r="G47" s="12">
        <v>143</v>
      </c>
      <c r="H47" s="8">
        <v>2.08</v>
      </c>
      <c r="I47" s="12">
        <v>0</v>
      </c>
    </row>
    <row r="48" spans="2:9" ht="15" customHeight="1" x14ac:dyDescent="0.15">
      <c r="B48" t="s">
        <v>108</v>
      </c>
      <c r="C48" s="12">
        <v>162</v>
      </c>
      <c r="D48" s="8">
        <v>1.22</v>
      </c>
      <c r="E48" s="12">
        <v>6</v>
      </c>
      <c r="F48" s="8">
        <v>0.09</v>
      </c>
      <c r="G48" s="12">
        <v>155</v>
      </c>
      <c r="H48" s="8">
        <v>2.25</v>
      </c>
      <c r="I48" s="12">
        <v>1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727</v>
      </c>
      <c r="D52" s="8">
        <v>5.49</v>
      </c>
      <c r="E52" s="12">
        <v>600</v>
      </c>
      <c r="F52" s="8">
        <v>9.4499999999999993</v>
      </c>
      <c r="G52" s="12">
        <v>127</v>
      </c>
      <c r="H52" s="8">
        <v>1.84</v>
      </c>
      <c r="I52" s="12">
        <v>0</v>
      </c>
    </row>
    <row r="53" spans="2:9" ht="15" customHeight="1" x14ac:dyDescent="0.15">
      <c r="B53" t="s">
        <v>155</v>
      </c>
      <c r="C53" s="12">
        <v>618</v>
      </c>
      <c r="D53" s="8">
        <v>4.66</v>
      </c>
      <c r="E53" s="12">
        <v>536</v>
      </c>
      <c r="F53" s="8">
        <v>8.44</v>
      </c>
      <c r="G53" s="12">
        <v>82</v>
      </c>
      <c r="H53" s="8">
        <v>1.19</v>
      </c>
      <c r="I53" s="12">
        <v>0</v>
      </c>
    </row>
    <row r="54" spans="2:9" ht="15" customHeight="1" x14ac:dyDescent="0.15">
      <c r="B54" t="s">
        <v>156</v>
      </c>
      <c r="C54" s="12">
        <v>453</v>
      </c>
      <c r="D54" s="8">
        <v>3.42</v>
      </c>
      <c r="E54" s="12">
        <v>373</v>
      </c>
      <c r="F54" s="8">
        <v>5.87</v>
      </c>
      <c r="G54" s="12">
        <v>78</v>
      </c>
      <c r="H54" s="8">
        <v>1.1299999999999999</v>
      </c>
      <c r="I54" s="12">
        <v>2</v>
      </c>
    </row>
    <row r="55" spans="2:9" ht="15" customHeight="1" x14ac:dyDescent="0.15">
      <c r="B55" t="s">
        <v>154</v>
      </c>
      <c r="C55" s="12">
        <v>411</v>
      </c>
      <c r="D55" s="8">
        <v>3.1</v>
      </c>
      <c r="E55" s="12">
        <v>377</v>
      </c>
      <c r="F55" s="8">
        <v>5.94</v>
      </c>
      <c r="G55" s="12">
        <v>34</v>
      </c>
      <c r="H55" s="8">
        <v>0.49</v>
      </c>
      <c r="I55" s="12">
        <v>0</v>
      </c>
    </row>
    <row r="56" spans="2:9" ht="15" customHeight="1" x14ac:dyDescent="0.15">
      <c r="B56" t="s">
        <v>151</v>
      </c>
      <c r="C56" s="12">
        <v>395</v>
      </c>
      <c r="D56" s="8">
        <v>2.98</v>
      </c>
      <c r="E56" s="12">
        <v>370</v>
      </c>
      <c r="F56" s="8">
        <v>5.83</v>
      </c>
      <c r="G56" s="12">
        <v>25</v>
      </c>
      <c r="H56" s="8">
        <v>0.36</v>
      </c>
      <c r="I56" s="12">
        <v>0</v>
      </c>
    </row>
    <row r="57" spans="2:9" ht="15" customHeight="1" x14ac:dyDescent="0.15">
      <c r="B57" t="s">
        <v>157</v>
      </c>
      <c r="C57" s="12">
        <v>369</v>
      </c>
      <c r="D57" s="8">
        <v>2.78</v>
      </c>
      <c r="E57" s="12">
        <v>303</v>
      </c>
      <c r="F57" s="8">
        <v>4.7699999999999996</v>
      </c>
      <c r="G57" s="12">
        <v>66</v>
      </c>
      <c r="H57" s="8">
        <v>0.96</v>
      </c>
      <c r="I57" s="12">
        <v>0</v>
      </c>
    </row>
    <row r="58" spans="2:9" ht="15" customHeight="1" x14ac:dyDescent="0.15">
      <c r="B58" t="s">
        <v>150</v>
      </c>
      <c r="C58" s="12">
        <v>330</v>
      </c>
      <c r="D58" s="8">
        <v>2.4900000000000002</v>
      </c>
      <c r="E58" s="12">
        <v>256</v>
      </c>
      <c r="F58" s="8">
        <v>4.03</v>
      </c>
      <c r="G58" s="12">
        <v>74</v>
      </c>
      <c r="H58" s="8">
        <v>1.07</v>
      </c>
      <c r="I58" s="12">
        <v>0</v>
      </c>
    </row>
    <row r="59" spans="2:9" ht="15" customHeight="1" x14ac:dyDescent="0.15">
      <c r="B59" t="s">
        <v>153</v>
      </c>
      <c r="C59" s="12">
        <v>244</v>
      </c>
      <c r="D59" s="8">
        <v>1.84</v>
      </c>
      <c r="E59" s="12">
        <v>133</v>
      </c>
      <c r="F59" s="8">
        <v>2.09</v>
      </c>
      <c r="G59" s="12">
        <v>111</v>
      </c>
      <c r="H59" s="8">
        <v>1.61</v>
      </c>
      <c r="I59" s="12">
        <v>0</v>
      </c>
    </row>
    <row r="60" spans="2:9" ht="15" customHeight="1" x14ac:dyDescent="0.15">
      <c r="B60" t="s">
        <v>140</v>
      </c>
      <c r="C60" s="12">
        <v>241</v>
      </c>
      <c r="D60" s="8">
        <v>1.82</v>
      </c>
      <c r="E60" s="12">
        <v>45</v>
      </c>
      <c r="F60" s="8">
        <v>0.71</v>
      </c>
      <c r="G60" s="12">
        <v>196</v>
      </c>
      <c r="H60" s="8">
        <v>2.84</v>
      </c>
      <c r="I60" s="12">
        <v>0</v>
      </c>
    </row>
    <row r="61" spans="2:9" ht="15" customHeight="1" x14ac:dyDescent="0.15">
      <c r="B61" t="s">
        <v>152</v>
      </c>
      <c r="C61" s="12">
        <v>240</v>
      </c>
      <c r="D61" s="8">
        <v>1.81</v>
      </c>
      <c r="E61" s="12">
        <v>223</v>
      </c>
      <c r="F61" s="8">
        <v>3.51</v>
      </c>
      <c r="G61" s="12">
        <v>17</v>
      </c>
      <c r="H61" s="8">
        <v>0.25</v>
      </c>
      <c r="I61" s="12">
        <v>0</v>
      </c>
    </row>
    <row r="62" spans="2:9" ht="15" customHeight="1" x14ac:dyDescent="0.15">
      <c r="B62" t="s">
        <v>145</v>
      </c>
      <c r="C62" s="12">
        <v>228</v>
      </c>
      <c r="D62" s="8">
        <v>1.72</v>
      </c>
      <c r="E62" s="12">
        <v>135</v>
      </c>
      <c r="F62" s="8">
        <v>2.13</v>
      </c>
      <c r="G62" s="12">
        <v>93</v>
      </c>
      <c r="H62" s="8">
        <v>1.35</v>
      </c>
      <c r="I62" s="12">
        <v>0</v>
      </c>
    </row>
    <row r="63" spans="2:9" ht="15" customHeight="1" x14ac:dyDescent="0.15">
      <c r="B63" t="s">
        <v>138</v>
      </c>
      <c r="C63" s="12">
        <v>221</v>
      </c>
      <c r="D63" s="8">
        <v>1.67</v>
      </c>
      <c r="E63" s="12">
        <v>37</v>
      </c>
      <c r="F63" s="8">
        <v>0.57999999999999996</v>
      </c>
      <c r="G63" s="12">
        <v>184</v>
      </c>
      <c r="H63" s="8">
        <v>2.67</v>
      </c>
      <c r="I63" s="12">
        <v>0</v>
      </c>
    </row>
    <row r="64" spans="2:9" ht="15" customHeight="1" x14ac:dyDescent="0.15">
      <c r="B64" t="s">
        <v>141</v>
      </c>
      <c r="C64" s="12">
        <v>214</v>
      </c>
      <c r="D64" s="8">
        <v>1.61</v>
      </c>
      <c r="E64" s="12">
        <v>36</v>
      </c>
      <c r="F64" s="8">
        <v>0.56999999999999995</v>
      </c>
      <c r="G64" s="12">
        <v>178</v>
      </c>
      <c r="H64" s="8">
        <v>2.58</v>
      </c>
      <c r="I64" s="12">
        <v>0</v>
      </c>
    </row>
    <row r="65" spans="2:9" ht="15" customHeight="1" x14ac:dyDescent="0.15">
      <c r="B65" t="s">
        <v>146</v>
      </c>
      <c r="C65" s="12">
        <v>210</v>
      </c>
      <c r="D65" s="8">
        <v>1.58</v>
      </c>
      <c r="E65" s="12">
        <v>16</v>
      </c>
      <c r="F65" s="8">
        <v>0.25</v>
      </c>
      <c r="G65" s="12">
        <v>194</v>
      </c>
      <c r="H65" s="8">
        <v>2.82</v>
      </c>
      <c r="I65" s="12">
        <v>0</v>
      </c>
    </row>
    <row r="66" spans="2:9" ht="15" customHeight="1" x14ac:dyDescent="0.15">
      <c r="B66" t="s">
        <v>149</v>
      </c>
      <c r="C66" s="12">
        <v>201</v>
      </c>
      <c r="D66" s="8">
        <v>1.52</v>
      </c>
      <c r="E66" s="12">
        <v>20</v>
      </c>
      <c r="F66" s="8">
        <v>0.32</v>
      </c>
      <c r="G66" s="12">
        <v>180</v>
      </c>
      <c r="H66" s="8">
        <v>2.61</v>
      </c>
      <c r="I66" s="12">
        <v>1</v>
      </c>
    </row>
    <row r="67" spans="2:9" ht="15" customHeight="1" x14ac:dyDescent="0.15">
      <c r="B67" t="s">
        <v>139</v>
      </c>
      <c r="C67" s="12">
        <v>194</v>
      </c>
      <c r="D67" s="8">
        <v>1.46</v>
      </c>
      <c r="E67" s="12">
        <v>22</v>
      </c>
      <c r="F67" s="8">
        <v>0.35</v>
      </c>
      <c r="G67" s="12">
        <v>172</v>
      </c>
      <c r="H67" s="8">
        <v>2.5</v>
      </c>
      <c r="I67" s="12">
        <v>0</v>
      </c>
    </row>
    <row r="68" spans="2:9" ht="15" customHeight="1" x14ac:dyDescent="0.15">
      <c r="B68" t="s">
        <v>174</v>
      </c>
      <c r="C68" s="12">
        <v>194</v>
      </c>
      <c r="D68" s="8">
        <v>1.46</v>
      </c>
      <c r="E68" s="12">
        <v>65</v>
      </c>
      <c r="F68" s="8">
        <v>1.02</v>
      </c>
      <c r="G68" s="12">
        <v>129</v>
      </c>
      <c r="H68" s="8">
        <v>1.87</v>
      </c>
      <c r="I68" s="12">
        <v>0</v>
      </c>
    </row>
    <row r="69" spans="2:9" ht="15" customHeight="1" x14ac:dyDescent="0.15">
      <c r="B69" t="s">
        <v>159</v>
      </c>
      <c r="C69" s="12">
        <v>190</v>
      </c>
      <c r="D69" s="8">
        <v>1.43</v>
      </c>
      <c r="E69" s="12">
        <v>48</v>
      </c>
      <c r="F69" s="8">
        <v>0.76</v>
      </c>
      <c r="G69" s="12">
        <v>142</v>
      </c>
      <c r="H69" s="8">
        <v>2.06</v>
      </c>
      <c r="I69" s="12">
        <v>0</v>
      </c>
    </row>
    <row r="70" spans="2:9" ht="15" customHeight="1" x14ac:dyDescent="0.15">
      <c r="B70" t="s">
        <v>147</v>
      </c>
      <c r="C70" s="12">
        <v>184</v>
      </c>
      <c r="D70" s="8">
        <v>1.39</v>
      </c>
      <c r="E70" s="12">
        <v>68</v>
      </c>
      <c r="F70" s="8">
        <v>1.07</v>
      </c>
      <c r="G70" s="12">
        <v>115</v>
      </c>
      <c r="H70" s="8">
        <v>1.67</v>
      </c>
      <c r="I70" s="12">
        <v>1</v>
      </c>
    </row>
    <row r="71" spans="2:9" ht="15" customHeight="1" x14ac:dyDescent="0.15">
      <c r="B71" t="s">
        <v>143</v>
      </c>
      <c r="C71" s="12">
        <v>183</v>
      </c>
      <c r="D71" s="8">
        <v>1.38</v>
      </c>
      <c r="E71" s="12">
        <v>109</v>
      </c>
      <c r="F71" s="8">
        <v>1.72</v>
      </c>
      <c r="G71" s="12">
        <v>74</v>
      </c>
      <c r="H71" s="8">
        <v>1.07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15">
      <c r="B6" t="s">
        <v>63</v>
      </c>
      <c r="C6" s="12">
        <v>618</v>
      </c>
      <c r="D6" s="8">
        <v>17.61</v>
      </c>
      <c r="E6" s="12">
        <v>205</v>
      </c>
      <c r="F6" s="8">
        <v>11.61</v>
      </c>
      <c r="G6" s="12">
        <v>413</v>
      </c>
      <c r="H6" s="8">
        <v>23.71</v>
      </c>
      <c r="I6" s="12">
        <v>0</v>
      </c>
    </row>
    <row r="7" spans="2:9" ht="15" customHeight="1" x14ac:dyDescent="0.15">
      <c r="B7" t="s">
        <v>64</v>
      </c>
      <c r="C7" s="12">
        <v>485</v>
      </c>
      <c r="D7" s="8">
        <v>13.82</v>
      </c>
      <c r="E7" s="12">
        <v>141</v>
      </c>
      <c r="F7" s="8">
        <v>7.98</v>
      </c>
      <c r="G7" s="12">
        <v>344</v>
      </c>
      <c r="H7" s="8">
        <v>19.75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27</v>
      </c>
      <c r="D9" s="8">
        <v>0.77</v>
      </c>
      <c r="E9" s="12">
        <v>2</v>
      </c>
      <c r="F9" s="8">
        <v>0.11</v>
      </c>
      <c r="G9" s="12">
        <v>25</v>
      </c>
      <c r="H9" s="8">
        <v>1.44</v>
      </c>
      <c r="I9" s="12">
        <v>0</v>
      </c>
    </row>
    <row r="10" spans="2:9" ht="15" customHeight="1" x14ac:dyDescent="0.15">
      <c r="B10" t="s">
        <v>67</v>
      </c>
      <c r="C10" s="12">
        <v>40</v>
      </c>
      <c r="D10" s="8">
        <v>1.1399999999999999</v>
      </c>
      <c r="E10" s="12">
        <v>10</v>
      </c>
      <c r="F10" s="8">
        <v>0.56999999999999995</v>
      </c>
      <c r="G10" s="12">
        <v>30</v>
      </c>
      <c r="H10" s="8">
        <v>1.72</v>
      </c>
      <c r="I10" s="12">
        <v>0</v>
      </c>
    </row>
    <row r="11" spans="2:9" ht="15" customHeight="1" x14ac:dyDescent="0.15">
      <c r="B11" t="s">
        <v>68</v>
      </c>
      <c r="C11" s="12">
        <v>633</v>
      </c>
      <c r="D11" s="8">
        <v>18.03</v>
      </c>
      <c r="E11" s="12">
        <v>267</v>
      </c>
      <c r="F11" s="8">
        <v>15.12</v>
      </c>
      <c r="G11" s="12">
        <v>366</v>
      </c>
      <c r="H11" s="8">
        <v>21.01</v>
      </c>
      <c r="I11" s="12">
        <v>0</v>
      </c>
    </row>
    <row r="12" spans="2:9" ht="15" customHeight="1" x14ac:dyDescent="0.15">
      <c r="B12" t="s">
        <v>69</v>
      </c>
      <c r="C12" s="12">
        <v>11</v>
      </c>
      <c r="D12" s="8">
        <v>0.31</v>
      </c>
      <c r="E12" s="12">
        <v>3</v>
      </c>
      <c r="F12" s="8">
        <v>0.17</v>
      </c>
      <c r="G12" s="12">
        <v>8</v>
      </c>
      <c r="H12" s="8">
        <v>0.46</v>
      </c>
      <c r="I12" s="12">
        <v>0</v>
      </c>
    </row>
    <row r="13" spans="2:9" ht="15" customHeight="1" x14ac:dyDescent="0.15">
      <c r="B13" t="s">
        <v>70</v>
      </c>
      <c r="C13" s="12">
        <v>407</v>
      </c>
      <c r="D13" s="8">
        <v>11.6</v>
      </c>
      <c r="E13" s="12">
        <v>255</v>
      </c>
      <c r="F13" s="8">
        <v>14.44</v>
      </c>
      <c r="G13" s="12">
        <v>152</v>
      </c>
      <c r="H13" s="8">
        <v>8.73</v>
      </c>
      <c r="I13" s="12">
        <v>0</v>
      </c>
    </row>
    <row r="14" spans="2:9" ht="15" customHeight="1" x14ac:dyDescent="0.15">
      <c r="B14" t="s">
        <v>71</v>
      </c>
      <c r="C14" s="12">
        <v>159</v>
      </c>
      <c r="D14" s="8">
        <v>4.53</v>
      </c>
      <c r="E14" s="12">
        <v>78</v>
      </c>
      <c r="F14" s="8">
        <v>4.42</v>
      </c>
      <c r="G14" s="12">
        <v>81</v>
      </c>
      <c r="H14" s="8">
        <v>4.6500000000000004</v>
      </c>
      <c r="I14" s="12">
        <v>0</v>
      </c>
    </row>
    <row r="15" spans="2:9" ht="15" customHeight="1" x14ac:dyDescent="0.15">
      <c r="B15" t="s">
        <v>72</v>
      </c>
      <c r="C15" s="12">
        <v>318</v>
      </c>
      <c r="D15" s="8">
        <v>9.06</v>
      </c>
      <c r="E15" s="12">
        <v>246</v>
      </c>
      <c r="F15" s="8">
        <v>13.93</v>
      </c>
      <c r="G15" s="12">
        <v>71</v>
      </c>
      <c r="H15" s="8">
        <v>4.08</v>
      </c>
      <c r="I15" s="12">
        <v>1</v>
      </c>
    </row>
    <row r="16" spans="2:9" ht="15" customHeight="1" x14ac:dyDescent="0.15">
      <c r="B16" t="s">
        <v>73</v>
      </c>
      <c r="C16" s="12">
        <v>371</v>
      </c>
      <c r="D16" s="8">
        <v>10.57</v>
      </c>
      <c r="E16" s="12">
        <v>282</v>
      </c>
      <c r="F16" s="8">
        <v>15.97</v>
      </c>
      <c r="G16" s="12">
        <v>89</v>
      </c>
      <c r="H16" s="8">
        <v>5.1100000000000003</v>
      </c>
      <c r="I16" s="12">
        <v>0</v>
      </c>
    </row>
    <row r="17" spans="2:9" ht="15" customHeight="1" x14ac:dyDescent="0.15">
      <c r="B17" t="s">
        <v>74</v>
      </c>
      <c r="C17" s="12">
        <v>147</v>
      </c>
      <c r="D17" s="8">
        <v>4.1900000000000004</v>
      </c>
      <c r="E17" s="12">
        <v>114</v>
      </c>
      <c r="F17" s="8">
        <v>6.46</v>
      </c>
      <c r="G17" s="12">
        <v>32</v>
      </c>
      <c r="H17" s="8">
        <v>1.84</v>
      </c>
      <c r="I17" s="12">
        <v>1</v>
      </c>
    </row>
    <row r="18" spans="2:9" ht="15" customHeight="1" x14ac:dyDescent="0.15">
      <c r="B18" t="s">
        <v>75</v>
      </c>
      <c r="C18" s="12">
        <v>164</v>
      </c>
      <c r="D18" s="8">
        <v>4.67</v>
      </c>
      <c r="E18" s="12">
        <v>110</v>
      </c>
      <c r="F18" s="8">
        <v>6.23</v>
      </c>
      <c r="G18" s="12">
        <v>54</v>
      </c>
      <c r="H18" s="8">
        <v>3.1</v>
      </c>
      <c r="I18" s="12">
        <v>0</v>
      </c>
    </row>
    <row r="19" spans="2:9" ht="15" customHeight="1" x14ac:dyDescent="0.15">
      <c r="B19" t="s">
        <v>76</v>
      </c>
      <c r="C19" s="12">
        <v>129</v>
      </c>
      <c r="D19" s="8">
        <v>3.68</v>
      </c>
      <c r="E19" s="12">
        <v>53</v>
      </c>
      <c r="F19" s="8">
        <v>3</v>
      </c>
      <c r="G19" s="12">
        <v>76</v>
      </c>
      <c r="H19" s="8">
        <v>4.3600000000000003</v>
      </c>
      <c r="I19" s="12">
        <v>0</v>
      </c>
    </row>
    <row r="20" spans="2:9" ht="15" customHeight="1" x14ac:dyDescent="0.15">
      <c r="B20" s="9" t="s">
        <v>216</v>
      </c>
      <c r="C20" s="12">
        <f>SUM(LTBL_14151[総数／事業所数])</f>
        <v>3510</v>
      </c>
      <c r="E20" s="12">
        <f>SUBTOTAL(109,LTBL_14151[個人／事業所数])</f>
        <v>1766</v>
      </c>
      <c r="G20" s="12">
        <f>SUBTOTAL(109,LTBL_14151[法人／事業所数])</f>
        <v>1742</v>
      </c>
      <c r="I20" s="12">
        <f>SUBTOTAL(109,LTBL_14151[法人以外の団体／事業所数])</f>
        <v>2</v>
      </c>
    </row>
    <row r="21" spans="2:9" ht="15" customHeight="1" x14ac:dyDescent="0.15">
      <c r="E21" s="11">
        <f>LTBL_14151[[#Totals],[個人／事業所数]]/LTBL_14151[[#Totals],[総数／事業所数]]</f>
        <v>0.50313390313390316</v>
      </c>
      <c r="G21" s="11">
        <f>LTBL_14151[[#Totals],[法人／事業所数]]/LTBL_14151[[#Totals],[総数／事業所数]]</f>
        <v>0.49629629629629629</v>
      </c>
      <c r="I21" s="11">
        <f>LTBL_14151[[#Totals],[法人以外の団体／事業所数]]/LTBL_14151[[#Totals],[総数／事業所数]]</f>
        <v>5.6980056980056976E-4</v>
      </c>
    </row>
    <row r="23" spans="2:9" ht="33" customHeight="1" x14ac:dyDescent="0.15">
      <c r="B23" t="s">
        <v>215</v>
      </c>
      <c r="C23" s="10" t="s">
        <v>78</v>
      </c>
      <c r="D23" s="10" t="s">
        <v>327</v>
      </c>
      <c r="E23" s="10" t="s">
        <v>80</v>
      </c>
      <c r="F23" s="10" t="s">
        <v>328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24</v>
      </c>
      <c r="D24" t="s">
        <v>217</v>
      </c>
      <c r="E24">
        <v>0</v>
      </c>
      <c r="F24" t="s">
        <v>219</v>
      </c>
      <c r="G24">
        <v>23</v>
      </c>
      <c r="H24" t="s">
        <v>220</v>
      </c>
      <c r="I24">
        <v>1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342</v>
      </c>
      <c r="D29" s="8">
        <v>9.74</v>
      </c>
      <c r="E29" s="12">
        <v>247</v>
      </c>
      <c r="F29" s="8">
        <v>13.99</v>
      </c>
      <c r="G29" s="12">
        <v>95</v>
      </c>
      <c r="H29" s="8">
        <v>5.45</v>
      </c>
      <c r="I29" s="12">
        <v>0</v>
      </c>
    </row>
    <row r="30" spans="2:9" ht="15" customHeight="1" x14ac:dyDescent="0.15">
      <c r="B30" t="s">
        <v>100</v>
      </c>
      <c r="C30" s="12">
        <v>317</v>
      </c>
      <c r="D30" s="8">
        <v>9.0299999999999994</v>
      </c>
      <c r="E30" s="12">
        <v>261</v>
      </c>
      <c r="F30" s="8">
        <v>14.78</v>
      </c>
      <c r="G30" s="12">
        <v>56</v>
      </c>
      <c r="H30" s="8">
        <v>3.21</v>
      </c>
      <c r="I30" s="12">
        <v>0</v>
      </c>
    </row>
    <row r="31" spans="2:9" ht="15" customHeight="1" x14ac:dyDescent="0.15">
      <c r="B31" t="s">
        <v>99</v>
      </c>
      <c r="C31" s="12">
        <v>280</v>
      </c>
      <c r="D31" s="8">
        <v>7.98</v>
      </c>
      <c r="E31" s="12">
        <v>232</v>
      </c>
      <c r="F31" s="8">
        <v>13.14</v>
      </c>
      <c r="G31" s="12">
        <v>48</v>
      </c>
      <c r="H31" s="8">
        <v>2.76</v>
      </c>
      <c r="I31" s="12">
        <v>0</v>
      </c>
    </row>
    <row r="32" spans="2:9" ht="15" customHeight="1" x14ac:dyDescent="0.15">
      <c r="B32" t="s">
        <v>85</v>
      </c>
      <c r="C32" s="12">
        <v>246</v>
      </c>
      <c r="D32" s="8">
        <v>7.01</v>
      </c>
      <c r="E32" s="12">
        <v>73</v>
      </c>
      <c r="F32" s="8">
        <v>4.13</v>
      </c>
      <c r="G32" s="12">
        <v>173</v>
      </c>
      <c r="H32" s="8">
        <v>9.93</v>
      </c>
      <c r="I32" s="12">
        <v>0</v>
      </c>
    </row>
    <row r="33" spans="2:9" ht="15" customHeight="1" x14ac:dyDescent="0.15">
      <c r="B33" t="s">
        <v>86</v>
      </c>
      <c r="C33" s="12">
        <v>242</v>
      </c>
      <c r="D33" s="8">
        <v>6.89</v>
      </c>
      <c r="E33" s="12">
        <v>105</v>
      </c>
      <c r="F33" s="8">
        <v>5.95</v>
      </c>
      <c r="G33" s="12">
        <v>137</v>
      </c>
      <c r="H33" s="8">
        <v>7.86</v>
      </c>
      <c r="I33" s="12">
        <v>0</v>
      </c>
    </row>
    <row r="34" spans="2:9" ht="15" customHeight="1" x14ac:dyDescent="0.15">
      <c r="B34" t="s">
        <v>94</v>
      </c>
      <c r="C34" s="12">
        <v>186</v>
      </c>
      <c r="D34" s="8">
        <v>5.3</v>
      </c>
      <c r="E34" s="12">
        <v>79</v>
      </c>
      <c r="F34" s="8">
        <v>4.47</v>
      </c>
      <c r="G34" s="12">
        <v>107</v>
      </c>
      <c r="H34" s="8">
        <v>6.14</v>
      </c>
      <c r="I34" s="12">
        <v>0</v>
      </c>
    </row>
    <row r="35" spans="2:9" ht="15" customHeight="1" x14ac:dyDescent="0.15">
      <c r="B35" t="s">
        <v>102</v>
      </c>
      <c r="C35" s="12">
        <v>147</v>
      </c>
      <c r="D35" s="8">
        <v>4.1900000000000004</v>
      </c>
      <c r="E35" s="12">
        <v>114</v>
      </c>
      <c r="F35" s="8">
        <v>6.46</v>
      </c>
      <c r="G35" s="12">
        <v>32</v>
      </c>
      <c r="H35" s="8">
        <v>1.84</v>
      </c>
      <c r="I35" s="12">
        <v>1</v>
      </c>
    </row>
    <row r="36" spans="2:9" ht="15" customHeight="1" x14ac:dyDescent="0.15">
      <c r="B36" t="s">
        <v>103</v>
      </c>
      <c r="C36" s="12">
        <v>132</v>
      </c>
      <c r="D36" s="8">
        <v>3.76</v>
      </c>
      <c r="E36" s="12">
        <v>109</v>
      </c>
      <c r="F36" s="8">
        <v>6.17</v>
      </c>
      <c r="G36" s="12">
        <v>23</v>
      </c>
      <c r="H36" s="8">
        <v>1.32</v>
      </c>
      <c r="I36" s="12">
        <v>0</v>
      </c>
    </row>
    <row r="37" spans="2:9" ht="15" customHeight="1" x14ac:dyDescent="0.15">
      <c r="B37" t="s">
        <v>87</v>
      </c>
      <c r="C37" s="12">
        <v>130</v>
      </c>
      <c r="D37" s="8">
        <v>3.7</v>
      </c>
      <c r="E37" s="12">
        <v>27</v>
      </c>
      <c r="F37" s="8">
        <v>1.53</v>
      </c>
      <c r="G37" s="12">
        <v>103</v>
      </c>
      <c r="H37" s="8">
        <v>5.91</v>
      </c>
      <c r="I37" s="12">
        <v>0</v>
      </c>
    </row>
    <row r="38" spans="2:9" ht="15" customHeight="1" x14ac:dyDescent="0.15">
      <c r="B38" t="s">
        <v>92</v>
      </c>
      <c r="C38" s="12">
        <v>128</v>
      </c>
      <c r="D38" s="8">
        <v>3.65</v>
      </c>
      <c r="E38" s="12">
        <v>91</v>
      </c>
      <c r="F38" s="8">
        <v>5.15</v>
      </c>
      <c r="G38" s="12">
        <v>37</v>
      </c>
      <c r="H38" s="8">
        <v>2.12</v>
      </c>
      <c r="I38" s="12">
        <v>0</v>
      </c>
    </row>
    <row r="39" spans="2:9" ht="15" customHeight="1" x14ac:dyDescent="0.15">
      <c r="B39" t="s">
        <v>98</v>
      </c>
      <c r="C39" s="12">
        <v>84</v>
      </c>
      <c r="D39" s="8">
        <v>2.39</v>
      </c>
      <c r="E39" s="12">
        <v>32</v>
      </c>
      <c r="F39" s="8">
        <v>1.81</v>
      </c>
      <c r="G39" s="12">
        <v>52</v>
      </c>
      <c r="H39" s="8">
        <v>2.99</v>
      </c>
      <c r="I39" s="12">
        <v>0</v>
      </c>
    </row>
    <row r="40" spans="2:9" ht="15" customHeight="1" x14ac:dyDescent="0.15">
      <c r="B40" t="s">
        <v>93</v>
      </c>
      <c r="C40" s="12">
        <v>81</v>
      </c>
      <c r="D40" s="8">
        <v>2.31</v>
      </c>
      <c r="E40" s="12">
        <v>44</v>
      </c>
      <c r="F40" s="8">
        <v>2.4900000000000002</v>
      </c>
      <c r="G40" s="12">
        <v>37</v>
      </c>
      <c r="H40" s="8">
        <v>2.12</v>
      </c>
      <c r="I40" s="12">
        <v>0</v>
      </c>
    </row>
    <row r="41" spans="2:9" ht="15" customHeight="1" x14ac:dyDescent="0.15">
      <c r="B41" t="s">
        <v>91</v>
      </c>
      <c r="C41" s="12">
        <v>80</v>
      </c>
      <c r="D41" s="8">
        <v>2.2799999999999998</v>
      </c>
      <c r="E41" s="12">
        <v>21</v>
      </c>
      <c r="F41" s="8">
        <v>1.19</v>
      </c>
      <c r="G41" s="12">
        <v>59</v>
      </c>
      <c r="H41" s="8">
        <v>3.39</v>
      </c>
      <c r="I41" s="12">
        <v>0</v>
      </c>
    </row>
    <row r="42" spans="2:9" ht="15" customHeight="1" x14ac:dyDescent="0.15">
      <c r="B42" t="s">
        <v>89</v>
      </c>
      <c r="C42" s="12">
        <v>75</v>
      </c>
      <c r="D42" s="8">
        <v>2.14</v>
      </c>
      <c r="E42" s="12">
        <v>19</v>
      </c>
      <c r="F42" s="8">
        <v>1.08</v>
      </c>
      <c r="G42" s="12">
        <v>56</v>
      </c>
      <c r="H42" s="8">
        <v>3.21</v>
      </c>
      <c r="I42" s="12">
        <v>0</v>
      </c>
    </row>
    <row r="43" spans="2:9" ht="15" customHeight="1" x14ac:dyDescent="0.15">
      <c r="B43" t="s">
        <v>88</v>
      </c>
      <c r="C43" s="12">
        <v>74</v>
      </c>
      <c r="D43" s="8">
        <v>2.11</v>
      </c>
      <c r="E43" s="12">
        <v>21</v>
      </c>
      <c r="F43" s="8">
        <v>1.19</v>
      </c>
      <c r="G43" s="12">
        <v>53</v>
      </c>
      <c r="H43" s="8">
        <v>3.04</v>
      </c>
      <c r="I43" s="12">
        <v>0</v>
      </c>
    </row>
    <row r="44" spans="2:9" ht="15" customHeight="1" x14ac:dyDescent="0.15">
      <c r="B44" t="s">
        <v>97</v>
      </c>
      <c r="C44" s="12">
        <v>66</v>
      </c>
      <c r="D44" s="8">
        <v>1.88</v>
      </c>
      <c r="E44" s="12">
        <v>45</v>
      </c>
      <c r="F44" s="8">
        <v>2.5499999999999998</v>
      </c>
      <c r="G44" s="12">
        <v>21</v>
      </c>
      <c r="H44" s="8">
        <v>1.21</v>
      </c>
      <c r="I44" s="12">
        <v>0</v>
      </c>
    </row>
    <row r="45" spans="2:9" ht="15" customHeight="1" x14ac:dyDescent="0.15">
      <c r="B45" t="s">
        <v>95</v>
      </c>
      <c r="C45" s="12">
        <v>54</v>
      </c>
      <c r="D45" s="8">
        <v>1.54</v>
      </c>
      <c r="E45" s="12">
        <v>7</v>
      </c>
      <c r="F45" s="8">
        <v>0.4</v>
      </c>
      <c r="G45" s="12">
        <v>47</v>
      </c>
      <c r="H45" s="8">
        <v>2.7</v>
      </c>
      <c r="I45" s="12">
        <v>0</v>
      </c>
    </row>
    <row r="46" spans="2:9" ht="15" customHeight="1" x14ac:dyDescent="0.15">
      <c r="B46" t="s">
        <v>117</v>
      </c>
      <c r="C46" s="12">
        <v>50</v>
      </c>
      <c r="D46" s="8">
        <v>1.42</v>
      </c>
      <c r="E46" s="12">
        <v>36</v>
      </c>
      <c r="F46" s="8">
        <v>2.04</v>
      </c>
      <c r="G46" s="12">
        <v>14</v>
      </c>
      <c r="H46" s="8">
        <v>0.8</v>
      </c>
      <c r="I46" s="12">
        <v>0</v>
      </c>
    </row>
    <row r="47" spans="2:9" ht="15" customHeight="1" x14ac:dyDescent="0.15">
      <c r="B47" t="s">
        <v>90</v>
      </c>
      <c r="C47" s="12">
        <v>43</v>
      </c>
      <c r="D47" s="8">
        <v>1.23</v>
      </c>
      <c r="E47" s="12">
        <v>5</v>
      </c>
      <c r="F47" s="8">
        <v>0.28000000000000003</v>
      </c>
      <c r="G47" s="12">
        <v>38</v>
      </c>
      <c r="H47" s="8">
        <v>2.1800000000000002</v>
      </c>
      <c r="I47" s="12">
        <v>0</v>
      </c>
    </row>
    <row r="48" spans="2:9" ht="15" customHeight="1" x14ac:dyDescent="0.15">
      <c r="B48" t="s">
        <v>106</v>
      </c>
      <c r="C48" s="12">
        <v>42</v>
      </c>
      <c r="D48" s="8">
        <v>1.2</v>
      </c>
      <c r="E48" s="12">
        <v>4</v>
      </c>
      <c r="F48" s="8">
        <v>0.23</v>
      </c>
      <c r="G48" s="12">
        <v>38</v>
      </c>
      <c r="H48" s="8">
        <v>2.1800000000000002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199</v>
      </c>
      <c r="D52" s="8">
        <v>5.67</v>
      </c>
      <c r="E52" s="12">
        <v>172</v>
      </c>
      <c r="F52" s="8">
        <v>9.74</v>
      </c>
      <c r="G52" s="12">
        <v>27</v>
      </c>
      <c r="H52" s="8">
        <v>1.55</v>
      </c>
      <c r="I52" s="12">
        <v>0</v>
      </c>
    </row>
    <row r="53" spans="2:9" ht="15" customHeight="1" x14ac:dyDescent="0.15">
      <c r="B53" t="s">
        <v>155</v>
      </c>
      <c r="C53" s="12">
        <v>151</v>
      </c>
      <c r="D53" s="8">
        <v>4.3</v>
      </c>
      <c r="E53" s="12">
        <v>136</v>
      </c>
      <c r="F53" s="8">
        <v>7.7</v>
      </c>
      <c r="G53" s="12">
        <v>15</v>
      </c>
      <c r="H53" s="8">
        <v>0.86</v>
      </c>
      <c r="I53" s="12">
        <v>0</v>
      </c>
    </row>
    <row r="54" spans="2:9" ht="15" customHeight="1" x14ac:dyDescent="0.15">
      <c r="B54" t="s">
        <v>156</v>
      </c>
      <c r="C54" s="12">
        <v>117</v>
      </c>
      <c r="D54" s="8">
        <v>3.33</v>
      </c>
      <c r="E54" s="12">
        <v>98</v>
      </c>
      <c r="F54" s="8">
        <v>5.55</v>
      </c>
      <c r="G54" s="12">
        <v>18</v>
      </c>
      <c r="H54" s="8">
        <v>1.03</v>
      </c>
      <c r="I54" s="12">
        <v>1</v>
      </c>
    </row>
    <row r="55" spans="2:9" ht="15" customHeight="1" x14ac:dyDescent="0.15">
      <c r="B55" t="s">
        <v>157</v>
      </c>
      <c r="C55" s="12">
        <v>97</v>
      </c>
      <c r="D55" s="8">
        <v>2.76</v>
      </c>
      <c r="E55" s="12">
        <v>80</v>
      </c>
      <c r="F55" s="8">
        <v>4.53</v>
      </c>
      <c r="G55" s="12">
        <v>17</v>
      </c>
      <c r="H55" s="8">
        <v>0.98</v>
      </c>
      <c r="I55" s="12">
        <v>0</v>
      </c>
    </row>
    <row r="56" spans="2:9" ht="15" customHeight="1" x14ac:dyDescent="0.15">
      <c r="B56" t="s">
        <v>154</v>
      </c>
      <c r="C56" s="12">
        <v>95</v>
      </c>
      <c r="D56" s="8">
        <v>2.71</v>
      </c>
      <c r="E56" s="12">
        <v>88</v>
      </c>
      <c r="F56" s="8">
        <v>4.9800000000000004</v>
      </c>
      <c r="G56" s="12">
        <v>7</v>
      </c>
      <c r="H56" s="8">
        <v>0.4</v>
      </c>
      <c r="I56" s="12">
        <v>0</v>
      </c>
    </row>
    <row r="57" spans="2:9" ht="15" customHeight="1" x14ac:dyDescent="0.15">
      <c r="B57" t="s">
        <v>138</v>
      </c>
      <c r="C57" s="12">
        <v>88</v>
      </c>
      <c r="D57" s="8">
        <v>2.5099999999999998</v>
      </c>
      <c r="E57" s="12">
        <v>19</v>
      </c>
      <c r="F57" s="8">
        <v>1.08</v>
      </c>
      <c r="G57" s="12">
        <v>69</v>
      </c>
      <c r="H57" s="8">
        <v>3.96</v>
      </c>
      <c r="I57" s="12">
        <v>0</v>
      </c>
    </row>
    <row r="58" spans="2:9" ht="15" customHeight="1" x14ac:dyDescent="0.15">
      <c r="B58" t="s">
        <v>151</v>
      </c>
      <c r="C58" s="12">
        <v>84</v>
      </c>
      <c r="D58" s="8">
        <v>2.39</v>
      </c>
      <c r="E58" s="12">
        <v>78</v>
      </c>
      <c r="F58" s="8">
        <v>4.42</v>
      </c>
      <c r="G58" s="12">
        <v>6</v>
      </c>
      <c r="H58" s="8">
        <v>0.34</v>
      </c>
      <c r="I58" s="12">
        <v>0</v>
      </c>
    </row>
    <row r="59" spans="2:9" ht="15" customHeight="1" x14ac:dyDescent="0.15">
      <c r="B59" t="s">
        <v>150</v>
      </c>
      <c r="C59" s="12">
        <v>76</v>
      </c>
      <c r="D59" s="8">
        <v>2.17</v>
      </c>
      <c r="E59" s="12">
        <v>65</v>
      </c>
      <c r="F59" s="8">
        <v>3.68</v>
      </c>
      <c r="G59" s="12">
        <v>11</v>
      </c>
      <c r="H59" s="8">
        <v>0.63</v>
      </c>
      <c r="I59" s="12">
        <v>0</v>
      </c>
    </row>
    <row r="60" spans="2:9" ht="15" customHeight="1" x14ac:dyDescent="0.15">
      <c r="B60" t="s">
        <v>174</v>
      </c>
      <c r="C60" s="12">
        <v>74</v>
      </c>
      <c r="D60" s="8">
        <v>2.11</v>
      </c>
      <c r="E60" s="12">
        <v>35</v>
      </c>
      <c r="F60" s="8">
        <v>1.98</v>
      </c>
      <c r="G60" s="12">
        <v>39</v>
      </c>
      <c r="H60" s="8">
        <v>2.2400000000000002</v>
      </c>
      <c r="I60" s="12">
        <v>0</v>
      </c>
    </row>
    <row r="61" spans="2:9" ht="15" customHeight="1" x14ac:dyDescent="0.15">
      <c r="B61" t="s">
        <v>141</v>
      </c>
      <c r="C61" s="12">
        <v>58</v>
      </c>
      <c r="D61" s="8">
        <v>1.65</v>
      </c>
      <c r="E61" s="12">
        <v>13</v>
      </c>
      <c r="F61" s="8">
        <v>0.74</v>
      </c>
      <c r="G61" s="12">
        <v>45</v>
      </c>
      <c r="H61" s="8">
        <v>2.58</v>
      </c>
      <c r="I61" s="12">
        <v>0</v>
      </c>
    </row>
    <row r="62" spans="2:9" ht="15" customHeight="1" x14ac:dyDescent="0.15">
      <c r="B62" t="s">
        <v>140</v>
      </c>
      <c r="C62" s="12">
        <v>56</v>
      </c>
      <c r="D62" s="8">
        <v>1.6</v>
      </c>
      <c r="E62" s="12">
        <v>13</v>
      </c>
      <c r="F62" s="8">
        <v>0.74</v>
      </c>
      <c r="G62" s="12">
        <v>43</v>
      </c>
      <c r="H62" s="8">
        <v>2.4700000000000002</v>
      </c>
      <c r="I62" s="12">
        <v>0</v>
      </c>
    </row>
    <row r="63" spans="2:9" ht="15" customHeight="1" x14ac:dyDescent="0.15">
      <c r="B63" t="s">
        <v>145</v>
      </c>
      <c r="C63" s="12">
        <v>56</v>
      </c>
      <c r="D63" s="8">
        <v>1.6</v>
      </c>
      <c r="E63" s="12">
        <v>32</v>
      </c>
      <c r="F63" s="8">
        <v>1.81</v>
      </c>
      <c r="G63" s="12">
        <v>24</v>
      </c>
      <c r="H63" s="8">
        <v>1.38</v>
      </c>
      <c r="I63" s="12">
        <v>0</v>
      </c>
    </row>
    <row r="64" spans="2:9" ht="15" customHeight="1" x14ac:dyDescent="0.15">
      <c r="B64" t="s">
        <v>173</v>
      </c>
      <c r="C64" s="12">
        <v>56</v>
      </c>
      <c r="D64" s="8">
        <v>1.6</v>
      </c>
      <c r="E64" s="12">
        <v>49</v>
      </c>
      <c r="F64" s="8">
        <v>2.77</v>
      </c>
      <c r="G64" s="12">
        <v>7</v>
      </c>
      <c r="H64" s="8">
        <v>0.4</v>
      </c>
      <c r="I64" s="12">
        <v>0</v>
      </c>
    </row>
    <row r="65" spans="2:9" ht="15" customHeight="1" x14ac:dyDescent="0.15">
      <c r="B65" t="s">
        <v>153</v>
      </c>
      <c r="C65" s="12">
        <v>56</v>
      </c>
      <c r="D65" s="8">
        <v>1.6</v>
      </c>
      <c r="E65" s="12">
        <v>29</v>
      </c>
      <c r="F65" s="8">
        <v>1.64</v>
      </c>
      <c r="G65" s="12">
        <v>27</v>
      </c>
      <c r="H65" s="8">
        <v>1.55</v>
      </c>
      <c r="I65" s="12">
        <v>0</v>
      </c>
    </row>
    <row r="66" spans="2:9" ht="15" customHeight="1" x14ac:dyDescent="0.15">
      <c r="B66" t="s">
        <v>143</v>
      </c>
      <c r="C66" s="12">
        <v>50</v>
      </c>
      <c r="D66" s="8">
        <v>1.42</v>
      </c>
      <c r="E66" s="12">
        <v>35</v>
      </c>
      <c r="F66" s="8">
        <v>1.98</v>
      </c>
      <c r="G66" s="12">
        <v>15</v>
      </c>
      <c r="H66" s="8">
        <v>0.86</v>
      </c>
      <c r="I66" s="12">
        <v>0</v>
      </c>
    </row>
    <row r="67" spans="2:9" ht="15" customHeight="1" x14ac:dyDescent="0.15">
      <c r="B67" t="s">
        <v>181</v>
      </c>
      <c r="C67" s="12">
        <v>50</v>
      </c>
      <c r="D67" s="8">
        <v>1.42</v>
      </c>
      <c r="E67" s="12">
        <v>36</v>
      </c>
      <c r="F67" s="8">
        <v>2.04</v>
      </c>
      <c r="G67" s="12">
        <v>14</v>
      </c>
      <c r="H67" s="8">
        <v>0.8</v>
      </c>
      <c r="I67" s="12">
        <v>0</v>
      </c>
    </row>
    <row r="68" spans="2:9" ht="15" customHeight="1" x14ac:dyDescent="0.15">
      <c r="B68" t="s">
        <v>144</v>
      </c>
      <c r="C68" s="12">
        <v>48</v>
      </c>
      <c r="D68" s="8">
        <v>1.37</v>
      </c>
      <c r="E68" s="12">
        <v>22</v>
      </c>
      <c r="F68" s="8">
        <v>1.25</v>
      </c>
      <c r="G68" s="12">
        <v>26</v>
      </c>
      <c r="H68" s="8">
        <v>1.49</v>
      </c>
      <c r="I68" s="12">
        <v>0</v>
      </c>
    </row>
    <row r="69" spans="2:9" ht="15" customHeight="1" x14ac:dyDescent="0.15">
      <c r="B69" t="s">
        <v>139</v>
      </c>
      <c r="C69" s="12">
        <v>47</v>
      </c>
      <c r="D69" s="8">
        <v>1.34</v>
      </c>
      <c r="E69" s="12">
        <v>11</v>
      </c>
      <c r="F69" s="8">
        <v>0.62</v>
      </c>
      <c r="G69" s="12">
        <v>36</v>
      </c>
      <c r="H69" s="8">
        <v>2.0699999999999998</v>
      </c>
      <c r="I69" s="12">
        <v>0</v>
      </c>
    </row>
    <row r="70" spans="2:9" ht="15" customHeight="1" x14ac:dyDescent="0.15">
      <c r="B70" t="s">
        <v>147</v>
      </c>
      <c r="C70" s="12">
        <v>47</v>
      </c>
      <c r="D70" s="8">
        <v>1.34</v>
      </c>
      <c r="E70" s="12">
        <v>21</v>
      </c>
      <c r="F70" s="8">
        <v>1.19</v>
      </c>
      <c r="G70" s="12">
        <v>26</v>
      </c>
      <c r="H70" s="8">
        <v>1.49</v>
      </c>
      <c r="I70" s="12">
        <v>0</v>
      </c>
    </row>
    <row r="71" spans="2:9" ht="15" customHeight="1" x14ac:dyDescent="0.15">
      <c r="B71" t="s">
        <v>142</v>
      </c>
      <c r="C71" s="12">
        <v>46</v>
      </c>
      <c r="D71" s="8">
        <v>1.31</v>
      </c>
      <c r="E71" s="12">
        <v>8</v>
      </c>
      <c r="F71" s="8">
        <v>0.45</v>
      </c>
      <c r="G71" s="12">
        <v>38</v>
      </c>
      <c r="H71" s="8">
        <v>2.1800000000000002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832</v>
      </c>
      <c r="D6" s="8">
        <v>16.43</v>
      </c>
      <c r="E6" s="12">
        <v>161</v>
      </c>
      <c r="F6" s="8">
        <v>7.11</v>
      </c>
      <c r="G6" s="12">
        <v>671</v>
      </c>
      <c r="H6" s="8">
        <v>24.01</v>
      </c>
      <c r="I6" s="12">
        <v>0</v>
      </c>
    </row>
    <row r="7" spans="2:9" ht="15" customHeight="1" x14ac:dyDescent="0.15">
      <c r="B7" t="s">
        <v>64</v>
      </c>
      <c r="C7" s="12">
        <v>601</v>
      </c>
      <c r="D7" s="8">
        <v>11.87</v>
      </c>
      <c r="E7" s="12">
        <v>105</v>
      </c>
      <c r="F7" s="8">
        <v>4.6399999999999997</v>
      </c>
      <c r="G7" s="12">
        <v>496</v>
      </c>
      <c r="H7" s="8">
        <v>17.75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43</v>
      </c>
      <c r="D9" s="8">
        <v>0.85</v>
      </c>
      <c r="E9" s="12">
        <v>4</v>
      </c>
      <c r="F9" s="8">
        <v>0.18</v>
      </c>
      <c r="G9" s="12">
        <v>38</v>
      </c>
      <c r="H9" s="8">
        <v>1.36</v>
      </c>
      <c r="I9" s="12">
        <v>1</v>
      </c>
    </row>
    <row r="10" spans="2:9" ht="15" customHeight="1" x14ac:dyDescent="0.15">
      <c r="B10" t="s">
        <v>67</v>
      </c>
      <c r="C10" s="12">
        <v>66</v>
      </c>
      <c r="D10" s="8">
        <v>1.3</v>
      </c>
      <c r="E10" s="12">
        <v>20</v>
      </c>
      <c r="F10" s="8">
        <v>0.88</v>
      </c>
      <c r="G10" s="12">
        <v>46</v>
      </c>
      <c r="H10" s="8">
        <v>1.65</v>
      </c>
      <c r="I10" s="12">
        <v>0</v>
      </c>
    </row>
    <row r="11" spans="2:9" ht="15" customHeight="1" x14ac:dyDescent="0.15">
      <c r="B11" t="s">
        <v>68</v>
      </c>
      <c r="C11" s="12">
        <v>869</v>
      </c>
      <c r="D11" s="8">
        <v>17.16</v>
      </c>
      <c r="E11" s="12">
        <v>332</v>
      </c>
      <c r="F11" s="8">
        <v>14.67</v>
      </c>
      <c r="G11" s="12">
        <v>535</v>
      </c>
      <c r="H11" s="8">
        <v>19.14</v>
      </c>
      <c r="I11" s="12">
        <v>2</v>
      </c>
    </row>
    <row r="12" spans="2:9" ht="15" customHeight="1" x14ac:dyDescent="0.15">
      <c r="B12" t="s">
        <v>69</v>
      </c>
      <c r="C12" s="12">
        <v>29</v>
      </c>
      <c r="D12" s="8">
        <v>0.56999999999999995</v>
      </c>
      <c r="E12" s="12">
        <v>6</v>
      </c>
      <c r="F12" s="8">
        <v>0.27</v>
      </c>
      <c r="G12" s="12">
        <v>23</v>
      </c>
      <c r="H12" s="8">
        <v>0.82</v>
      </c>
      <c r="I12" s="12">
        <v>0</v>
      </c>
    </row>
    <row r="13" spans="2:9" ht="15" customHeight="1" x14ac:dyDescent="0.15">
      <c r="B13" t="s">
        <v>70</v>
      </c>
      <c r="C13" s="12">
        <v>449</v>
      </c>
      <c r="D13" s="8">
        <v>8.86</v>
      </c>
      <c r="E13" s="12">
        <v>156</v>
      </c>
      <c r="F13" s="8">
        <v>6.89</v>
      </c>
      <c r="G13" s="12">
        <v>291</v>
      </c>
      <c r="H13" s="8">
        <v>10.41</v>
      </c>
      <c r="I13" s="12">
        <v>2</v>
      </c>
    </row>
    <row r="14" spans="2:9" ht="15" customHeight="1" x14ac:dyDescent="0.15">
      <c r="B14" t="s">
        <v>71</v>
      </c>
      <c r="C14" s="12">
        <v>269</v>
      </c>
      <c r="D14" s="8">
        <v>5.31</v>
      </c>
      <c r="E14" s="12">
        <v>129</v>
      </c>
      <c r="F14" s="8">
        <v>5.7</v>
      </c>
      <c r="G14" s="12">
        <v>139</v>
      </c>
      <c r="H14" s="8">
        <v>4.97</v>
      </c>
      <c r="I14" s="12">
        <v>1</v>
      </c>
    </row>
    <row r="15" spans="2:9" ht="15" customHeight="1" x14ac:dyDescent="0.15">
      <c r="B15" t="s">
        <v>72</v>
      </c>
      <c r="C15" s="12">
        <v>605</v>
      </c>
      <c r="D15" s="8">
        <v>11.94</v>
      </c>
      <c r="E15" s="12">
        <v>502</v>
      </c>
      <c r="F15" s="8">
        <v>22.18</v>
      </c>
      <c r="G15" s="12">
        <v>103</v>
      </c>
      <c r="H15" s="8">
        <v>3.69</v>
      </c>
      <c r="I15" s="12">
        <v>0</v>
      </c>
    </row>
    <row r="16" spans="2:9" ht="15" customHeight="1" x14ac:dyDescent="0.15">
      <c r="B16" t="s">
        <v>73</v>
      </c>
      <c r="C16" s="12">
        <v>641</v>
      </c>
      <c r="D16" s="8">
        <v>12.66</v>
      </c>
      <c r="E16" s="12">
        <v>476</v>
      </c>
      <c r="F16" s="8">
        <v>21.03</v>
      </c>
      <c r="G16" s="12">
        <v>165</v>
      </c>
      <c r="H16" s="8">
        <v>5.9</v>
      </c>
      <c r="I16" s="12">
        <v>0</v>
      </c>
    </row>
    <row r="17" spans="2:9" ht="15" customHeight="1" x14ac:dyDescent="0.15">
      <c r="B17" t="s">
        <v>74</v>
      </c>
      <c r="C17" s="12">
        <v>216</v>
      </c>
      <c r="D17" s="8">
        <v>4.26</v>
      </c>
      <c r="E17" s="12">
        <v>162</v>
      </c>
      <c r="F17" s="8">
        <v>7.16</v>
      </c>
      <c r="G17" s="12">
        <v>53</v>
      </c>
      <c r="H17" s="8">
        <v>1.9</v>
      </c>
      <c r="I17" s="12">
        <v>1</v>
      </c>
    </row>
    <row r="18" spans="2:9" ht="15" customHeight="1" x14ac:dyDescent="0.15">
      <c r="B18" t="s">
        <v>75</v>
      </c>
      <c r="C18" s="12">
        <v>258</v>
      </c>
      <c r="D18" s="8">
        <v>5.09</v>
      </c>
      <c r="E18" s="12">
        <v>160</v>
      </c>
      <c r="F18" s="8">
        <v>7.07</v>
      </c>
      <c r="G18" s="12">
        <v>98</v>
      </c>
      <c r="H18" s="8">
        <v>3.51</v>
      </c>
      <c r="I18" s="12">
        <v>0</v>
      </c>
    </row>
    <row r="19" spans="2:9" ht="15" customHeight="1" x14ac:dyDescent="0.15">
      <c r="B19" t="s">
        <v>76</v>
      </c>
      <c r="C19" s="12">
        <v>187</v>
      </c>
      <c r="D19" s="8">
        <v>3.69</v>
      </c>
      <c r="E19" s="12">
        <v>50</v>
      </c>
      <c r="F19" s="8">
        <v>2.21</v>
      </c>
      <c r="G19" s="12">
        <v>137</v>
      </c>
      <c r="H19" s="8">
        <v>4.9000000000000004</v>
      </c>
      <c r="I19" s="12">
        <v>0</v>
      </c>
    </row>
    <row r="20" spans="2:9" ht="15" customHeight="1" x14ac:dyDescent="0.15">
      <c r="B20" s="9" t="s">
        <v>216</v>
      </c>
      <c r="C20" s="12">
        <f>SUM(LTBL_14152[総数／事業所数])</f>
        <v>5065</v>
      </c>
      <c r="E20" s="12">
        <f>SUBTOTAL(109,LTBL_14152[個人／事業所数])</f>
        <v>2263</v>
      </c>
      <c r="G20" s="12">
        <f>SUBTOTAL(109,LTBL_14152[法人／事業所数])</f>
        <v>2795</v>
      </c>
      <c r="I20" s="12">
        <f>SUBTOTAL(109,LTBL_14152[法人以外の団体／事業所数])</f>
        <v>7</v>
      </c>
    </row>
    <row r="21" spans="2:9" ht="15" customHeight="1" x14ac:dyDescent="0.15">
      <c r="E21" s="11">
        <f>LTBL_14152[[#Totals],[個人／事業所数]]/LTBL_14152[[#Totals],[総数／事業所数]]</f>
        <v>0.44679170779861799</v>
      </c>
      <c r="G21" s="11">
        <f>LTBL_14152[[#Totals],[法人／事業所数]]/LTBL_14152[[#Totals],[総数／事業所数]]</f>
        <v>0.55182625863770973</v>
      </c>
      <c r="I21" s="11">
        <f>LTBL_14152[[#Totals],[法人以外の団体／事業所数]]/LTBL_14152[[#Totals],[総数／事業所数]]</f>
        <v>1.3820335636722605E-3</v>
      </c>
    </row>
    <row r="23" spans="2:9" ht="33" customHeight="1" x14ac:dyDescent="0.15">
      <c r="B23" t="s">
        <v>215</v>
      </c>
      <c r="C23" s="10" t="s">
        <v>78</v>
      </c>
      <c r="D23" s="10" t="s">
        <v>330</v>
      </c>
      <c r="E23" s="10" t="s">
        <v>80</v>
      </c>
      <c r="F23" s="10" t="s">
        <v>331</v>
      </c>
      <c r="G23" s="10" t="s">
        <v>82</v>
      </c>
      <c r="H23" s="10" t="s">
        <v>332</v>
      </c>
      <c r="I23" s="10" t="s">
        <v>84</v>
      </c>
    </row>
    <row r="24" spans="2:9" ht="15" customHeight="1" x14ac:dyDescent="0.15">
      <c r="B24" t="s">
        <v>218</v>
      </c>
      <c r="C24">
        <v>13</v>
      </c>
      <c r="D24" t="s">
        <v>217</v>
      </c>
      <c r="E24">
        <v>0</v>
      </c>
      <c r="F24" t="s">
        <v>219</v>
      </c>
      <c r="G24">
        <v>13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585</v>
      </c>
      <c r="D29" s="8">
        <v>11.55</v>
      </c>
      <c r="E29" s="12">
        <v>500</v>
      </c>
      <c r="F29" s="8">
        <v>22.09</v>
      </c>
      <c r="G29" s="12">
        <v>85</v>
      </c>
      <c r="H29" s="8">
        <v>3.04</v>
      </c>
      <c r="I29" s="12">
        <v>0</v>
      </c>
    </row>
    <row r="30" spans="2:9" ht="15" customHeight="1" x14ac:dyDescent="0.15">
      <c r="B30" t="s">
        <v>100</v>
      </c>
      <c r="C30" s="12">
        <v>543</v>
      </c>
      <c r="D30" s="8">
        <v>10.72</v>
      </c>
      <c r="E30" s="12">
        <v>434</v>
      </c>
      <c r="F30" s="8">
        <v>19.18</v>
      </c>
      <c r="G30" s="12">
        <v>109</v>
      </c>
      <c r="H30" s="8">
        <v>3.9</v>
      </c>
      <c r="I30" s="12">
        <v>0</v>
      </c>
    </row>
    <row r="31" spans="2:9" ht="15" customHeight="1" x14ac:dyDescent="0.15">
      <c r="B31" t="s">
        <v>96</v>
      </c>
      <c r="C31" s="12">
        <v>319</v>
      </c>
      <c r="D31" s="8">
        <v>6.3</v>
      </c>
      <c r="E31" s="12">
        <v>149</v>
      </c>
      <c r="F31" s="8">
        <v>6.58</v>
      </c>
      <c r="G31" s="12">
        <v>168</v>
      </c>
      <c r="H31" s="8">
        <v>6.01</v>
      </c>
      <c r="I31" s="12">
        <v>2</v>
      </c>
    </row>
    <row r="32" spans="2:9" ht="15" customHeight="1" x14ac:dyDescent="0.15">
      <c r="B32" t="s">
        <v>86</v>
      </c>
      <c r="C32" s="12">
        <v>310</v>
      </c>
      <c r="D32" s="8">
        <v>6.12</v>
      </c>
      <c r="E32" s="12">
        <v>82</v>
      </c>
      <c r="F32" s="8">
        <v>3.62</v>
      </c>
      <c r="G32" s="12">
        <v>228</v>
      </c>
      <c r="H32" s="8">
        <v>8.16</v>
      </c>
      <c r="I32" s="12">
        <v>0</v>
      </c>
    </row>
    <row r="33" spans="2:9" ht="15" customHeight="1" x14ac:dyDescent="0.15">
      <c r="B33" t="s">
        <v>85</v>
      </c>
      <c r="C33" s="12">
        <v>304</v>
      </c>
      <c r="D33" s="8">
        <v>6</v>
      </c>
      <c r="E33" s="12">
        <v>49</v>
      </c>
      <c r="F33" s="8">
        <v>2.17</v>
      </c>
      <c r="G33" s="12">
        <v>255</v>
      </c>
      <c r="H33" s="8">
        <v>9.1199999999999992</v>
      </c>
      <c r="I33" s="12">
        <v>0</v>
      </c>
    </row>
    <row r="34" spans="2:9" ht="15" customHeight="1" x14ac:dyDescent="0.15">
      <c r="B34" t="s">
        <v>94</v>
      </c>
      <c r="C34" s="12">
        <v>232</v>
      </c>
      <c r="D34" s="8">
        <v>4.58</v>
      </c>
      <c r="E34" s="12">
        <v>116</v>
      </c>
      <c r="F34" s="8">
        <v>5.13</v>
      </c>
      <c r="G34" s="12">
        <v>116</v>
      </c>
      <c r="H34" s="8">
        <v>4.1500000000000004</v>
      </c>
      <c r="I34" s="12">
        <v>0</v>
      </c>
    </row>
    <row r="35" spans="2:9" ht="15" customHeight="1" x14ac:dyDescent="0.15">
      <c r="B35" t="s">
        <v>87</v>
      </c>
      <c r="C35" s="12">
        <v>218</v>
      </c>
      <c r="D35" s="8">
        <v>4.3</v>
      </c>
      <c r="E35" s="12">
        <v>30</v>
      </c>
      <c r="F35" s="8">
        <v>1.33</v>
      </c>
      <c r="G35" s="12">
        <v>188</v>
      </c>
      <c r="H35" s="8">
        <v>6.73</v>
      </c>
      <c r="I35" s="12">
        <v>0</v>
      </c>
    </row>
    <row r="36" spans="2:9" ht="15" customHeight="1" x14ac:dyDescent="0.15">
      <c r="B36" t="s">
        <v>102</v>
      </c>
      <c r="C36" s="12">
        <v>216</v>
      </c>
      <c r="D36" s="8">
        <v>4.26</v>
      </c>
      <c r="E36" s="12">
        <v>162</v>
      </c>
      <c r="F36" s="8">
        <v>7.16</v>
      </c>
      <c r="G36" s="12">
        <v>53</v>
      </c>
      <c r="H36" s="8">
        <v>1.9</v>
      </c>
      <c r="I36" s="12">
        <v>1</v>
      </c>
    </row>
    <row r="37" spans="2:9" ht="15" customHeight="1" x14ac:dyDescent="0.15">
      <c r="B37" t="s">
        <v>103</v>
      </c>
      <c r="C37" s="12">
        <v>183</v>
      </c>
      <c r="D37" s="8">
        <v>3.61</v>
      </c>
      <c r="E37" s="12">
        <v>159</v>
      </c>
      <c r="F37" s="8">
        <v>7.03</v>
      </c>
      <c r="G37" s="12">
        <v>24</v>
      </c>
      <c r="H37" s="8">
        <v>0.86</v>
      </c>
      <c r="I37" s="12">
        <v>0</v>
      </c>
    </row>
    <row r="38" spans="2:9" ht="15" customHeight="1" x14ac:dyDescent="0.15">
      <c r="B38" t="s">
        <v>92</v>
      </c>
      <c r="C38" s="12">
        <v>142</v>
      </c>
      <c r="D38" s="8">
        <v>2.8</v>
      </c>
      <c r="E38" s="12">
        <v>84</v>
      </c>
      <c r="F38" s="8">
        <v>3.71</v>
      </c>
      <c r="G38" s="12">
        <v>57</v>
      </c>
      <c r="H38" s="8">
        <v>2.04</v>
      </c>
      <c r="I38" s="12">
        <v>1</v>
      </c>
    </row>
    <row r="39" spans="2:9" ht="15" customHeight="1" x14ac:dyDescent="0.15">
      <c r="B39" t="s">
        <v>89</v>
      </c>
      <c r="C39" s="12">
        <v>135</v>
      </c>
      <c r="D39" s="8">
        <v>2.67</v>
      </c>
      <c r="E39" s="12">
        <v>16</v>
      </c>
      <c r="F39" s="8">
        <v>0.71</v>
      </c>
      <c r="G39" s="12">
        <v>119</v>
      </c>
      <c r="H39" s="8">
        <v>4.26</v>
      </c>
      <c r="I39" s="12">
        <v>0</v>
      </c>
    </row>
    <row r="40" spans="2:9" ht="15" customHeight="1" x14ac:dyDescent="0.15">
      <c r="B40" t="s">
        <v>93</v>
      </c>
      <c r="C40" s="12">
        <v>135</v>
      </c>
      <c r="D40" s="8">
        <v>2.67</v>
      </c>
      <c r="E40" s="12">
        <v>50</v>
      </c>
      <c r="F40" s="8">
        <v>2.21</v>
      </c>
      <c r="G40" s="12">
        <v>85</v>
      </c>
      <c r="H40" s="8">
        <v>3.04</v>
      </c>
      <c r="I40" s="12">
        <v>0</v>
      </c>
    </row>
    <row r="41" spans="2:9" ht="15" customHeight="1" x14ac:dyDescent="0.15">
      <c r="B41" t="s">
        <v>98</v>
      </c>
      <c r="C41" s="12">
        <v>135</v>
      </c>
      <c r="D41" s="8">
        <v>2.67</v>
      </c>
      <c r="E41" s="12">
        <v>34</v>
      </c>
      <c r="F41" s="8">
        <v>1.5</v>
      </c>
      <c r="G41" s="12">
        <v>101</v>
      </c>
      <c r="H41" s="8">
        <v>3.61</v>
      </c>
      <c r="I41" s="12">
        <v>0</v>
      </c>
    </row>
    <row r="42" spans="2:9" ht="15" customHeight="1" x14ac:dyDescent="0.15">
      <c r="B42" t="s">
        <v>97</v>
      </c>
      <c r="C42" s="12">
        <v>125</v>
      </c>
      <c r="D42" s="8">
        <v>2.4700000000000002</v>
      </c>
      <c r="E42" s="12">
        <v>93</v>
      </c>
      <c r="F42" s="8">
        <v>4.1100000000000003</v>
      </c>
      <c r="G42" s="12">
        <v>32</v>
      </c>
      <c r="H42" s="8">
        <v>1.1399999999999999</v>
      </c>
      <c r="I42" s="12">
        <v>0</v>
      </c>
    </row>
    <row r="43" spans="2:9" ht="15" customHeight="1" x14ac:dyDescent="0.15">
      <c r="B43" t="s">
        <v>95</v>
      </c>
      <c r="C43" s="12">
        <v>117</v>
      </c>
      <c r="D43" s="8">
        <v>2.31</v>
      </c>
      <c r="E43" s="12">
        <v>7</v>
      </c>
      <c r="F43" s="8">
        <v>0.31</v>
      </c>
      <c r="G43" s="12">
        <v>110</v>
      </c>
      <c r="H43" s="8">
        <v>3.94</v>
      </c>
      <c r="I43" s="12">
        <v>0</v>
      </c>
    </row>
    <row r="44" spans="2:9" ht="15" customHeight="1" x14ac:dyDescent="0.15">
      <c r="B44" t="s">
        <v>88</v>
      </c>
      <c r="C44" s="12">
        <v>116</v>
      </c>
      <c r="D44" s="8">
        <v>2.29</v>
      </c>
      <c r="E44" s="12">
        <v>16</v>
      </c>
      <c r="F44" s="8">
        <v>0.71</v>
      </c>
      <c r="G44" s="12">
        <v>100</v>
      </c>
      <c r="H44" s="8">
        <v>3.58</v>
      </c>
      <c r="I44" s="12">
        <v>0</v>
      </c>
    </row>
    <row r="45" spans="2:9" ht="15" customHeight="1" x14ac:dyDescent="0.15">
      <c r="B45" t="s">
        <v>106</v>
      </c>
      <c r="C45" s="12">
        <v>89</v>
      </c>
      <c r="D45" s="8">
        <v>1.76</v>
      </c>
      <c r="E45" s="12">
        <v>21</v>
      </c>
      <c r="F45" s="8">
        <v>0.93</v>
      </c>
      <c r="G45" s="12">
        <v>68</v>
      </c>
      <c r="H45" s="8">
        <v>2.4300000000000002</v>
      </c>
      <c r="I45" s="12">
        <v>0</v>
      </c>
    </row>
    <row r="46" spans="2:9" ht="15" customHeight="1" x14ac:dyDescent="0.15">
      <c r="B46" t="s">
        <v>91</v>
      </c>
      <c r="C46" s="12">
        <v>78</v>
      </c>
      <c r="D46" s="8">
        <v>1.54</v>
      </c>
      <c r="E46" s="12">
        <v>38</v>
      </c>
      <c r="F46" s="8">
        <v>1.68</v>
      </c>
      <c r="G46" s="12">
        <v>40</v>
      </c>
      <c r="H46" s="8">
        <v>1.43</v>
      </c>
      <c r="I46" s="12">
        <v>0</v>
      </c>
    </row>
    <row r="47" spans="2:9" ht="15" customHeight="1" x14ac:dyDescent="0.15">
      <c r="B47" t="s">
        <v>108</v>
      </c>
      <c r="C47" s="12">
        <v>75</v>
      </c>
      <c r="D47" s="8">
        <v>1.48</v>
      </c>
      <c r="E47" s="12">
        <v>1</v>
      </c>
      <c r="F47" s="8">
        <v>0.04</v>
      </c>
      <c r="G47" s="12">
        <v>74</v>
      </c>
      <c r="H47" s="8">
        <v>2.65</v>
      </c>
      <c r="I47" s="12">
        <v>0</v>
      </c>
    </row>
    <row r="48" spans="2:9" ht="15" customHeight="1" x14ac:dyDescent="0.15">
      <c r="B48" t="s">
        <v>117</v>
      </c>
      <c r="C48" s="12">
        <v>69</v>
      </c>
      <c r="D48" s="8">
        <v>1.36</v>
      </c>
      <c r="E48" s="12">
        <v>32</v>
      </c>
      <c r="F48" s="8">
        <v>1.41</v>
      </c>
      <c r="G48" s="12">
        <v>37</v>
      </c>
      <c r="H48" s="8">
        <v>1.32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234</v>
      </c>
      <c r="D52" s="8">
        <v>4.62</v>
      </c>
      <c r="E52" s="12">
        <v>203</v>
      </c>
      <c r="F52" s="8">
        <v>8.9700000000000006</v>
      </c>
      <c r="G52" s="12">
        <v>31</v>
      </c>
      <c r="H52" s="8">
        <v>1.1100000000000001</v>
      </c>
      <c r="I52" s="12">
        <v>0</v>
      </c>
    </row>
    <row r="53" spans="2:9" ht="15" customHeight="1" x14ac:dyDescent="0.15">
      <c r="B53" t="s">
        <v>151</v>
      </c>
      <c r="C53" s="12">
        <v>192</v>
      </c>
      <c r="D53" s="8">
        <v>3.79</v>
      </c>
      <c r="E53" s="12">
        <v>182</v>
      </c>
      <c r="F53" s="8">
        <v>8.0399999999999991</v>
      </c>
      <c r="G53" s="12">
        <v>10</v>
      </c>
      <c r="H53" s="8">
        <v>0.36</v>
      </c>
      <c r="I53" s="12">
        <v>0</v>
      </c>
    </row>
    <row r="54" spans="2:9" ht="15" customHeight="1" x14ac:dyDescent="0.15">
      <c r="B54" t="s">
        <v>154</v>
      </c>
      <c r="C54" s="12">
        <v>173</v>
      </c>
      <c r="D54" s="8">
        <v>3.42</v>
      </c>
      <c r="E54" s="12">
        <v>155</v>
      </c>
      <c r="F54" s="8">
        <v>6.85</v>
      </c>
      <c r="G54" s="12">
        <v>18</v>
      </c>
      <c r="H54" s="8">
        <v>0.64</v>
      </c>
      <c r="I54" s="12">
        <v>0</v>
      </c>
    </row>
    <row r="55" spans="2:9" ht="15" customHeight="1" x14ac:dyDescent="0.15">
      <c r="B55" t="s">
        <v>156</v>
      </c>
      <c r="C55" s="12">
        <v>159</v>
      </c>
      <c r="D55" s="8">
        <v>3.14</v>
      </c>
      <c r="E55" s="12">
        <v>131</v>
      </c>
      <c r="F55" s="8">
        <v>5.79</v>
      </c>
      <c r="G55" s="12">
        <v>27</v>
      </c>
      <c r="H55" s="8">
        <v>0.97</v>
      </c>
      <c r="I55" s="12">
        <v>1</v>
      </c>
    </row>
    <row r="56" spans="2:9" ht="15" customHeight="1" x14ac:dyDescent="0.15">
      <c r="B56" t="s">
        <v>148</v>
      </c>
      <c r="C56" s="12">
        <v>144</v>
      </c>
      <c r="D56" s="8">
        <v>2.84</v>
      </c>
      <c r="E56" s="12">
        <v>98</v>
      </c>
      <c r="F56" s="8">
        <v>4.33</v>
      </c>
      <c r="G56" s="12">
        <v>46</v>
      </c>
      <c r="H56" s="8">
        <v>1.65</v>
      </c>
      <c r="I56" s="12">
        <v>0</v>
      </c>
    </row>
    <row r="57" spans="2:9" ht="15" customHeight="1" x14ac:dyDescent="0.15">
      <c r="B57" t="s">
        <v>150</v>
      </c>
      <c r="C57" s="12">
        <v>136</v>
      </c>
      <c r="D57" s="8">
        <v>2.69</v>
      </c>
      <c r="E57" s="12">
        <v>104</v>
      </c>
      <c r="F57" s="8">
        <v>4.5999999999999996</v>
      </c>
      <c r="G57" s="12">
        <v>32</v>
      </c>
      <c r="H57" s="8">
        <v>1.1399999999999999</v>
      </c>
      <c r="I57" s="12">
        <v>0</v>
      </c>
    </row>
    <row r="58" spans="2:9" ht="15" customHeight="1" x14ac:dyDescent="0.15">
      <c r="B58" t="s">
        <v>157</v>
      </c>
      <c r="C58" s="12">
        <v>124</v>
      </c>
      <c r="D58" s="8">
        <v>2.4500000000000002</v>
      </c>
      <c r="E58" s="12">
        <v>107</v>
      </c>
      <c r="F58" s="8">
        <v>4.7300000000000004</v>
      </c>
      <c r="G58" s="12">
        <v>17</v>
      </c>
      <c r="H58" s="8">
        <v>0.61</v>
      </c>
      <c r="I58" s="12">
        <v>0</v>
      </c>
    </row>
    <row r="59" spans="2:9" ht="15" customHeight="1" x14ac:dyDescent="0.15">
      <c r="B59" t="s">
        <v>152</v>
      </c>
      <c r="C59" s="12">
        <v>114</v>
      </c>
      <c r="D59" s="8">
        <v>2.25</v>
      </c>
      <c r="E59" s="12">
        <v>101</v>
      </c>
      <c r="F59" s="8">
        <v>4.46</v>
      </c>
      <c r="G59" s="12">
        <v>13</v>
      </c>
      <c r="H59" s="8">
        <v>0.47</v>
      </c>
      <c r="I59" s="12">
        <v>0</v>
      </c>
    </row>
    <row r="60" spans="2:9" ht="15" customHeight="1" x14ac:dyDescent="0.15">
      <c r="B60" t="s">
        <v>153</v>
      </c>
      <c r="C60" s="12">
        <v>95</v>
      </c>
      <c r="D60" s="8">
        <v>1.88</v>
      </c>
      <c r="E60" s="12">
        <v>44</v>
      </c>
      <c r="F60" s="8">
        <v>1.94</v>
      </c>
      <c r="G60" s="12">
        <v>51</v>
      </c>
      <c r="H60" s="8">
        <v>1.82</v>
      </c>
      <c r="I60" s="12">
        <v>0</v>
      </c>
    </row>
    <row r="61" spans="2:9" ht="15" customHeight="1" x14ac:dyDescent="0.15">
      <c r="B61" t="s">
        <v>140</v>
      </c>
      <c r="C61" s="12">
        <v>91</v>
      </c>
      <c r="D61" s="8">
        <v>1.8</v>
      </c>
      <c r="E61" s="12">
        <v>16</v>
      </c>
      <c r="F61" s="8">
        <v>0.71</v>
      </c>
      <c r="G61" s="12">
        <v>75</v>
      </c>
      <c r="H61" s="8">
        <v>2.68</v>
      </c>
      <c r="I61" s="12">
        <v>0</v>
      </c>
    </row>
    <row r="62" spans="2:9" ht="15" customHeight="1" x14ac:dyDescent="0.15">
      <c r="B62" t="s">
        <v>141</v>
      </c>
      <c r="C62" s="12">
        <v>90</v>
      </c>
      <c r="D62" s="8">
        <v>1.78</v>
      </c>
      <c r="E62" s="12">
        <v>10</v>
      </c>
      <c r="F62" s="8">
        <v>0.44</v>
      </c>
      <c r="G62" s="12">
        <v>80</v>
      </c>
      <c r="H62" s="8">
        <v>2.86</v>
      </c>
      <c r="I62" s="12">
        <v>0</v>
      </c>
    </row>
    <row r="63" spans="2:9" ht="15" customHeight="1" x14ac:dyDescent="0.15">
      <c r="B63" t="s">
        <v>145</v>
      </c>
      <c r="C63" s="12">
        <v>88</v>
      </c>
      <c r="D63" s="8">
        <v>1.74</v>
      </c>
      <c r="E63" s="12">
        <v>61</v>
      </c>
      <c r="F63" s="8">
        <v>2.7</v>
      </c>
      <c r="G63" s="12">
        <v>27</v>
      </c>
      <c r="H63" s="8">
        <v>0.97</v>
      </c>
      <c r="I63" s="12">
        <v>0</v>
      </c>
    </row>
    <row r="64" spans="2:9" ht="15" customHeight="1" x14ac:dyDescent="0.15">
      <c r="B64" t="s">
        <v>174</v>
      </c>
      <c r="C64" s="12">
        <v>78</v>
      </c>
      <c r="D64" s="8">
        <v>1.54</v>
      </c>
      <c r="E64" s="12">
        <v>20</v>
      </c>
      <c r="F64" s="8">
        <v>0.88</v>
      </c>
      <c r="G64" s="12">
        <v>58</v>
      </c>
      <c r="H64" s="8">
        <v>2.08</v>
      </c>
      <c r="I64" s="12">
        <v>0</v>
      </c>
    </row>
    <row r="65" spans="2:9" ht="15" customHeight="1" x14ac:dyDescent="0.15">
      <c r="B65" t="s">
        <v>146</v>
      </c>
      <c r="C65" s="12">
        <v>78</v>
      </c>
      <c r="D65" s="8">
        <v>1.54</v>
      </c>
      <c r="E65" s="12">
        <v>4</v>
      </c>
      <c r="F65" s="8">
        <v>0.18</v>
      </c>
      <c r="G65" s="12">
        <v>74</v>
      </c>
      <c r="H65" s="8">
        <v>2.65</v>
      </c>
      <c r="I65" s="12">
        <v>0</v>
      </c>
    </row>
    <row r="66" spans="2:9" ht="15" customHeight="1" x14ac:dyDescent="0.15">
      <c r="B66" t="s">
        <v>158</v>
      </c>
      <c r="C66" s="12">
        <v>77</v>
      </c>
      <c r="D66" s="8">
        <v>1.52</v>
      </c>
      <c r="E66" s="12">
        <v>16</v>
      </c>
      <c r="F66" s="8">
        <v>0.71</v>
      </c>
      <c r="G66" s="12">
        <v>61</v>
      </c>
      <c r="H66" s="8">
        <v>2.1800000000000002</v>
      </c>
      <c r="I66" s="12">
        <v>0</v>
      </c>
    </row>
    <row r="67" spans="2:9" ht="15" customHeight="1" x14ac:dyDescent="0.15">
      <c r="B67" t="s">
        <v>138</v>
      </c>
      <c r="C67" s="12">
        <v>76</v>
      </c>
      <c r="D67" s="8">
        <v>1.5</v>
      </c>
      <c r="E67" s="12">
        <v>9</v>
      </c>
      <c r="F67" s="8">
        <v>0.4</v>
      </c>
      <c r="G67" s="12">
        <v>67</v>
      </c>
      <c r="H67" s="8">
        <v>2.4</v>
      </c>
      <c r="I67" s="12">
        <v>0</v>
      </c>
    </row>
    <row r="68" spans="2:9" ht="15" customHeight="1" x14ac:dyDescent="0.15">
      <c r="B68" t="s">
        <v>149</v>
      </c>
      <c r="C68" s="12">
        <v>75</v>
      </c>
      <c r="D68" s="8">
        <v>1.48</v>
      </c>
      <c r="E68" s="12">
        <v>6</v>
      </c>
      <c r="F68" s="8">
        <v>0.27</v>
      </c>
      <c r="G68" s="12">
        <v>68</v>
      </c>
      <c r="H68" s="8">
        <v>2.4300000000000002</v>
      </c>
      <c r="I68" s="12">
        <v>1</v>
      </c>
    </row>
    <row r="69" spans="2:9" ht="15" customHeight="1" x14ac:dyDescent="0.15">
      <c r="B69" t="s">
        <v>159</v>
      </c>
      <c r="C69" s="12">
        <v>75</v>
      </c>
      <c r="D69" s="8">
        <v>1.48</v>
      </c>
      <c r="E69" s="12">
        <v>13</v>
      </c>
      <c r="F69" s="8">
        <v>0.56999999999999995</v>
      </c>
      <c r="G69" s="12">
        <v>62</v>
      </c>
      <c r="H69" s="8">
        <v>2.2200000000000002</v>
      </c>
      <c r="I69" s="12">
        <v>0</v>
      </c>
    </row>
    <row r="70" spans="2:9" ht="15" customHeight="1" x14ac:dyDescent="0.15">
      <c r="B70" t="s">
        <v>181</v>
      </c>
      <c r="C70" s="12">
        <v>69</v>
      </c>
      <c r="D70" s="8">
        <v>1.36</v>
      </c>
      <c r="E70" s="12">
        <v>32</v>
      </c>
      <c r="F70" s="8">
        <v>1.41</v>
      </c>
      <c r="G70" s="12">
        <v>37</v>
      </c>
      <c r="H70" s="8">
        <v>1.32</v>
      </c>
      <c r="I70" s="12">
        <v>0</v>
      </c>
    </row>
    <row r="71" spans="2:9" ht="15" customHeight="1" x14ac:dyDescent="0.15">
      <c r="B71" t="s">
        <v>147</v>
      </c>
      <c r="C71" s="12">
        <v>67</v>
      </c>
      <c r="D71" s="8">
        <v>1.32</v>
      </c>
      <c r="E71" s="12">
        <v>20</v>
      </c>
      <c r="F71" s="8">
        <v>0.88</v>
      </c>
      <c r="G71" s="12">
        <v>46</v>
      </c>
      <c r="H71" s="8">
        <v>1.65</v>
      </c>
      <c r="I71" s="12">
        <v>1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716</v>
      </c>
      <c r="D6" s="8">
        <v>15.31</v>
      </c>
      <c r="E6" s="12">
        <v>149</v>
      </c>
      <c r="F6" s="8">
        <v>6.42</v>
      </c>
      <c r="G6" s="12">
        <v>567</v>
      </c>
      <c r="H6" s="8">
        <v>24.09</v>
      </c>
      <c r="I6" s="12">
        <v>0</v>
      </c>
    </row>
    <row r="7" spans="2:9" ht="15" customHeight="1" x14ac:dyDescent="0.15">
      <c r="B7" t="s">
        <v>64</v>
      </c>
      <c r="C7" s="12">
        <v>236</v>
      </c>
      <c r="D7" s="8">
        <v>5.04</v>
      </c>
      <c r="E7" s="12">
        <v>47</v>
      </c>
      <c r="F7" s="8">
        <v>2.0299999999999998</v>
      </c>
      <c r="G7" s="12">
        <v>189</v>
      </c>
      <c r="H7" s="8">
        <v>8.0299999999999994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65</v>
      </c>
      <c r="D9" s="8">
        <v>1.39</v>
      </c>
      <c r="E9" s="12">
        <v>3</v>
      </c>
      <c r="F9" s="8">
        <v>0.13</v>
      </c>
      <c r="G9" s="12">
        <v>61</v>
      </c>
      <c r="H9" s="8">
        <v>2.59</v>
      </c>
      <c r="I9" s="12">
        <v>1</v>
      </c>
    </row>
    <row r="10" spans="2:9" ht="15" customHeight="1" x14ac:dyDescent="0.15">
      <c r="B10" t="s">
        <v>67</v>
      </c>
      <c r="C10" s="12">
        <v>33</v>
      </c>
      <c r="D10" s="8">
        <v>0.71</v>
      </c>
      <c r="E10" s="12">
        <v>17</v>
      </c>
      <c r="F10" s="8">
        <v>0.73</v>
      </c>
      <c r="G10" s="12">
        <v>16</v>
      </c>
      <c r="H10" s="8">
        <v>0.68</v>
      </c>
      <c r="I10" s="12">
        <v>0</v>
      </c>
    </row>
    <row r="11" spans="2:9" ht="15" customHeight="1" x14ac:dyDescent="0.15">
      <c r="B11" t="s">
        <v>68</v>
      </c>
      <c r="C11" s="12">
        <v>902</v>
      </c>
      <c r="D11" s="8">
        <v>19.28</v>
      </c>
      <c r="E11" s="12">
        <v>329</v>
      </c>
      <c r="F11" s="8">
        <v>14.18</v>
      </c>
      <c r="G11" s="12">
        <v>573</v>
      </c>
      <c r="H11" s="8">
        <v>24.34</v>
      </c>
      <c r="I11" s="12">
        <v>0</v>
      </c>
    </row>
    <row r="12" spans="2:9" ht="15" customHeight="1" x14ac:dyDescent="0.15">
      <c r="B12" t="s">
        <v>69</v>
      </c>
      <c r="C12" s="12">
        <v>24</v>
      </c>
      <c r="D12" s="8">
        <v>0.51</v>
      </c>
      <c r="E12" s="12">
        <v>2</v>
      </c>
      <c r="F12" s="8">
        <v>0.09</v>
      </c>
      <c r="G12" s="12">
        <v>22</v>
      </c>
      <c r="H12" s="8">
        <v>0.93</v>
      </c>
      <c r="I12" s="12">
        <v>0</v>
      </c>
    </row>
    <row r="13" spans="2:9" ht="15" customHeight="1" x14ac:dyDescent="0.15">
      <c r="B13" t="s">
        <v>70</v>
      </c>
      <c r="C13" s="12">
        <v>727</v>
      </c>
      <c r="D13" s="8">
        <v>15.54</v>
      </c>
      <c r="E13" s="12">
        <v>407</v>
      </c>
      <c r="F13" s="8">
        <v>17.54</v>
      </c>
      <c r="G13" s="12">
        <v>320</v>
      </c>
      <c r="H13" s="8">
        <v>13.59</v>
      </c>
      <c r="I13" s="12">
        <v>0</v>
      </c>
    </row>
    <row r="14" spans="2:9" ht="15" customHeight="1" x14ac:dyDescent="0.15">
      <c r="B14" t="s">
        <v>71</v>
      </c>
      <c r="C14" s="12">
        <v>269</v>
      </c>
      <c r="D14" s="8">
        <v>5.75</v>
      </c>
      <c r="E14" s="12">
        <v>131</v>
      </c>
      <c r="F14" s="8">
        <v>5.65</v>
      </c>
      <c r="G14" s="12">
        <v>138</v>
      </c>
      <c r="H14" s="8">
        <v>5.86</v>
      </c>
      <c r="I14" s="12">
        <v>0</v>
      </c>
    </row>
    <row r="15" spans="2:9" ht="15" customHeight="1" x14ac:dyDescent="0.15">
      <c r="B15" t="s">
        <v>72</v>
      </c>
      <c r="C15" s="12">
        <v>468</v>
      </c>
      <c r="D15" s="8">
        <v>10</v>
      </c>
      <c r="E15" s="12">
        <v>378</v>
      </c>
      <c r="F15" s="8">
        <v>16.29</v>
      </c>
      <c r="G15" s="12">
        <v>90</v>
      </c>
      <c r="H15" s="8">
        <v>3.82</v>
      </c>
      <c r="I15" s="12">
        <v>0</v>
      </c>
    </row>
    <row r="16" spans="2:9" ht="15" customHeight="1" x14ac:dyDescent="0.15">
      <c r="B16" t="s">
        <v>73</v>
      </c>
      <c r="C16" s="12">
        <v>605</v>
      </c>
      <c r="D16" s="8">
        <v>12.93</v>
      </c>
      <c r="E16" s="12">
        <v>465</v>
      </c>
      <c r="F16" s="8">
        <v>20.04</v>
      </c>
      <c r="G16" s="12">
        <v>139</v>
      </c>
      <c r="H16" s="8">
        <v>5.9</v>
      </c>
      <c r="I16" s="12">
        <v>1</v>
      </c>
    </row>
    <row r="17" spans="2:9" ht="15" customHeight="1" x14ac:dyDescent="0.15">
      <c r="B17" t="s">
        <v>74</v>
      </c>
      <c r="C17" s="12">
        <v>239</v>
      </c>
      <c r="D17" s="8">
        <v>5.1100000000000003</v>
      </c>
      <c r="E17" s="12">
        <v>182</v>
      </c>
      <c r="F17" s="8">
        <v>7.84</v>
      </c>
      <c r="G17" s="12">
        <v>56</v>
      </c>
      <c r="H17" s="8">
        <v>2.38</v>
      </c>
      <c r="I17" s="12">
        <v>1</v>
      </c>
    </row>
    <row r="18" spans="2:9" ht="15" customHeight="1" x14ac:dyDescent="0.15">
      <c r="B18" t="s">
        <v>75</v>
      </c>
      <c r="C18" s="12">
        <v>274</v>
      </c>
      <c r="D18" s="8">
        <v>5.86</v>
      </c>
      <c r="E18" s="12">
        <v>180</v>
      </c>
      <c r="F18" s="8">
        <v>7.76</v>
      </c>
      <c r="G18" s="12">
        <v>93</v>
      </c>
      <c r="H18" s="8">
        <v>3.95</v>
      </c>
      <c r="I18" s="12">
        <v>1</v>
      </c>
    </row>
    <row r="19" spans="2:9" ht="15" customHeight="1" x14ac:dyDescent="0.15">
      <c r="B19" t="s">
        <v>76</v>
      </c>
      <c r="C19" s="12">
        <v>120</v>
      </c>
      <c r="D19" s="8">
        <v>2.57</v>
      </c>
      <c r="E19" s="12">
        <v>30</v>
      </c>
      <c r="F19" s="8">
        <v>1.29</v>
      </c>
      <c r="G19" s="12">
        <v>90</v>
      </c>
      <c r="H19" s="8">
        <v>3.82</v>
      </c>
      <c r="I19" s="12">
        <v>0</v>
      </c>
    </row>
    <row r="20" spans="2:9" ht="15" customHeight="1" x14ac:dyDescent="0.15">
      <c r="B20" s="9" t="s">
        <v>216</v>
      </c>
      <c r="C20" s="12">
        <f>SUM(LTBL_14153[総数／事業所数])</f>
        <v>4678</v>
      </c>
      <c r="E20" s="12">
        <f>SUBTOTAL(109,LTBL_14153[個人／事業所数])</f>
        <v>2320</v>
      </c>
      <c r="G20" s="12">
        <f>SUBTOTAL(109,LTBL_14153[法人／事業所数])</f>
        <v>2354</v>
      </c>
      <c r="I20" s="12">
        <f>SUBTOTAL(109,LTBL_14153[法人以外の団体／事業所数])</f>
        <v>4</v>
      </c>
    </row>
    <row r="21" spans="2:9" ht="15" customHeight="1" x14ac:dyDescent="0.15">
      <c r="E21" s="11">
        <f>LTBL_14153[[#Totals],[個人／事業所数]]/LTBL_14153[[#Totals],[総数／事業所数]]</f>
        <v>0.49593843522873021</v>
      </c>
      <c r="G21" s="11">
        <f>LTBL_14153[[#Totals],[法人／事業所数]]/LTBL_14153[[#Totals],[総数／事業所数]]</f>
        <v>0.50320649850363408</v>
      </c>
      <c r="I21" s="11">
        <f>LTBL_14153[[#Totals],[法人以外の団体／事業所数]]/LTBL_14153[[#Totals],[総数／事業所数]]</f>
        <v>8.5506626763574172E-4</v>
      </c>
    </row>
    <row r="23" spans="2:9" ht="33" customHeight="1" x14ac:dyDescent="0.15">
      <c r="B23" t="s">
        <v>215</v>
      </c>
      <c r="C23" s="10" t="s">
        <v>78</v>
      </c>
      <c r="D23" s="10" t="s">
        <v>334</v>
      </c>
      <c r="E23" s="10" t="s">
        <v>80</v>
      </c>
      <c r="F23" s="10" t="s">
        <v>335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13</v>
      </c>
      <c r="D24" t="s">
        <v>217</v>
      </c>
      <c r="E24">
        <v>0</v>
      </c>
      <c r="F24" t="s">
        <v>219</v>
      </c>
      <c r="G24">
        <v>13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336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586</v>
      </c>
      <c r="D29" s="8">
        <v>12.53</v>
      </c>
      <c r="E29" s="12">
        <v>402</v>
      </c>
      <c r="F29" s="8">
        <v>17.329999999999998</v>
      </c>
      <c r="G29" s="12">
        <v>184</v>
      </c>
      <c r="H29" s="8">
        <v>7.82</v>
      </c>
      <c r="I29" s="12">
        <v>0</v>
      </c>
    </row>
    <row r="30" spans="2:9" ht="15" customHeight="1" x14ac:dyDescent="0.15">
      <c r="B30" t="s">
        <v>100</v>
      </c>
      <c r="C30" s="12">
        <v>511</v>
      </c>
      <c r="D30" s="8">
        <v>10.92</v>
      </c>
      <c r="E30" s="12">
        <v>420</v>
      </c>
      <c r="F30" s="8">
        <v>18.100000000000001</v>
      </c>
      <c r="G30" s="12">
        <v>91</v>
      </c>
      <c r="H30" s="8">
        <v>3.87</v>
      </c>
      <c r="I30" s="12">
        <v>0</v>
      </c>
    </row>
    <row r="31" spans="2:9" ht="15" customHeight="1" x14ac:dyDescent="0.15">
      <c r="B31" t="s">
        <v>99</v>
      </c>
      <c r="C31" s="12">
        <v>433</v>
      </c>
      <c r="D31" s="8">
        <v>9.26</v>
      </c>
      <c r="E31" s="12">
        <v>371</v>
      </c>
      <c r="F31" s="8">
        <v>15.99</v>
      </c>
      <c r="G31" s="12">
        <v>62</v>
      </c>
      <c r="H31" s="8">
        <v>2.63</v>
      </c>
      <c r="I31" s="12">
        <v>0</v>
      </c>
    </row>
    <row r="32" spans="2:9" ht="15" customHeight="1" x14ac:dyDescent="0.15">
      <c r="B32" t="s">
        <v>86</v>
      </c>
      <c r="C32" s="12">
        <v>265</v>
      </c>
      <c r="D32" s="8">
        <v>5.66</v>
      </c>
      <c r="E32" s="12">
        <v>78</v>
      </c>
      <c r="F32" s="8">
        <v>3.36</v>
      </c>
      <c r="G32" s="12">
        <v>187</v>
      </c>
      <c r="H32" s="8">
        <v>7.94</v>
      </c>
      <c r="I32" s="12">
        <v>0</v>
      </c>
    </row>
    <row r="33" spans="2:9" ht="15" customHeight="1" x14ac:dyDescent="0.15">
      <c r="B33" t="s">
        <v>94</v>
      </c>
      <c r="C33" s="12">
        <v>260</v>
      </c>
      <c r="D33" s="8">
        <v>5.56</v>
      </c>
      <c r="E33" s="12">
        <v>104</v>
      </c>
      <c r="F33" s="8">
        <v>4.4800000000000004</v>
      </c>
      <c r="G33" s="12">
        <v>156</v>
      </c>
      <c r="H33" s="8">
        <v>6.63</v>
      </c>
      <c r="I33" s="12">
        <v>0</v>
      </c>
    </row>
    <row r="34" spans="2:9" ht="15" customHeight="1" x14ac:dyDescent="0.15">
      <c r="B34" t="s">
        <v>85</v>
      </c>
      <c r="C34" s="12">
        <v>256</v>
      </c>
      <c r="D34" s="8">
        <v>5.47</v>
      </c>
      <c r="E34" s="12">
        <v>41</v>
      </c>
      <c r="F34" s="8">
        <v>1.77</v>
      </c>
      <c r="G34" s="12">
        <v>215</v>
      </c>
      <c r="H34" s="8">
        <v>9.1300000000000008</v>
      </c>
      <c r="I34" s="12">
        <v>0</v>
      </c>
    </row>
    <row r="35" spans="2:9" ht="15" customHeight="1" x14ac:dyDescent="0.15">
      <c r="B35" t="s">
        <v>102</v>
      </c>
      <c r="C35" s="12">
        <v>239</v>
      </c>
      <c r="D35" s="8">
        <v>5.1100000000000003</v>
      </c>
      <c r="E35" s="12">
        <v>182</v>
      </c>
      <c r="F35" s="8">
        <v>7.84</v>
      </c>
      <c r="G35" s="12">
        <v>56</v>
      </c>
      <c r="H35" s="8">
        <v>2.38</v>
      </c>
      <c r="I35" s="12">
        <v>1</v>
      </c>
    </row>
    <row r="36" spans="2:9" ht="15" customHeight="1" x14ac:dyDescent="0.15">
      <c r="B36" t="s">
        <v>103</v>
      </c>
      <c r="C36" s="12">
        <v>219</v>
      </c>
      <c r="D36" s="8">
        <v>4.68</v>
      </c>
      <c r="E36" s="12">
        <v>176</v>
      </c>
      <c r="F36" s="8">
        <v>7.59</v>
      </c>
      <c r="G36" s="12">
        <v>43</v>
      </c>
      <c r="H36" s="8">
        <v>1.83</v>
      </c>
      <c r="I36" s="12">
        <v>0</v>
      </c>
    </row>
    <row r="37" spans="2:9" ht="15" customHeight="1" x14ac:dyDescent="0.15">
      <c r="B37" t="s">
        <v>87</v>
      </c>
      <c r="C37" s="12">
        <v>195</v>
      </c>
      <c r="D37" s="8">
        <v>4.17</v>
      </c>
      <c r="E37" s="12">
        <v>30</v>
      </c>
      <c r="F37" s="8">
        <v>1.29</v>
      </c>
      <c r="G37" s="12">
        <v>165</v>
      </c>
      <c r="H37" s="8">
        <v>7.01</v>
      </c>
      <c r="I37" s="12">
        <v>0</v>
      </c>
    </row>
    <row r="38" spans="2:9" ht="15" customHeight="1" x14ac:dyDescent="0.15">
      <c r="B38" t="s">
        <v>92</v>
      </c>
      <c r="C38" s="12">
        <v>178</v>
      </c>
      <c r="D38" s="8">
        <v>3.81</v>
      </c>
      <c r="E38" s="12">
        <v>101</v>
      </c>
      <c r="F38" s="8">
        <v>4.3499999999999996</v>
      </c>
      <c r="G38" s="12">
        <v>77</v>
      </c>
      <c r="H38" s="8">
        <v>3.27</v>
      </c>
      <c r="I38" s="12">
        <v>0</v>
      </c>
    </row>
    <row r="39" spans="2:9" ht="15" customHeight="1" x14ac:dyDescent="0.15">
      <c r="B39" t="s">
        <v>97</v>
      </c>
      <c r="C39" s="12">
        <v>135</v>
      </c>
      <c r="D39" s="8">
        <v>2.89</v>
      </c>
      <c r="E39" s="12">
        <v>88</v>
      </c>
      <c r="F39" s="8">
        <v>3.79</v>
      </c>
      <c r="G39" s="12">
        <v>47</v>
      </c>
      <c r="H39" s="8">
        <v>2</v>
      </c>
      <c r="I39" s="12">
        <v>0</v>
      </c>
    </row>
    <row r="40" spans="2:9" ht="15" customHeight="1" x14ac:dyDescent="0.15">
      <c r="B40" t="s">
        <v>95</v>
      </c>
      <c r="C40" s="12">
        <v>125</v>
      </c>
      <c r="D40" s="8">
        <v>2.67</v>
      </c>
      <c r="E40" s="12">
        <v>5</v>
      </c>
      <c r="F40" s="8">
        <v>0.22</v>
      </c>
      <c r="G40" s="12">
        <v>120</v>
      </c>
      <c r="H40" s="8">
        <v>5.0999999999999996</v>
      </c>
      <c r="I40" s="12">
        <v>0</v>
      </c>
    </row>
    <row r="41" spans="2:9" ht="15" customHeight="1" x14ac:dyDescent="0.15">
      <c r="B41" t="s">
        <v>98</v>
      </c>
      <c r="C41" s="12">
        <v>123</v>
      </c>
      <c r="D41" s="8">
        <v>2.63</v>
      </c>
      <c r="E41" s="12">
        <v>43</v>
      </c>
      <c r="F41" s="8">
        <v>1.85</v>
      </c>
      <c r="G41" s="12">
        <v>80</v>
      </c>
      <c r="H41" s="8">
        <v>3.4</v>
      </c>
      <c r="I41" s="12">
        <v>0</v>
      </c>
    </row>
    <row r="42" spans="2:9" ht="15" customHeight="1" x14ac:dyDescent="0.15">
      <c r="B42" t="s">
        <v>91</v>
      </c>
      <c r="C42" s="12">
        <v>113</v>
      </c>
      <c r="D42" s="8">
        <v>2.42</v>
      </c>
      <c r="E42" s="12">
        <v>40</v>
      </c>
      <c r="F42" s="8">
        <v>1.72</v>
      </c>
      <c r="G42" s="12">
        <v>73</v>
      </c>
      <c r="H42" s="8">
        <v>3.1</v>
      </c>
      <c r="I42" s="12">
        <v>0</v>
      </c>
    </row>
    <row r="43" spans="2:9" ht="15" customHeight="1" x14ac:dyDescent="0.15">
      <c r="B43" t="s">
        <v>93</v>
      </c>
      <c r="C43" s="12">
        <v>110</v>
      </c>
      <c r="D43" s="8">
        <v>2.35</v>
      </c>
      <c r="E43" s="12">
        <v>43</v>
      </c>
      <c r="F43" s="8">
        <v>1.85</v>
      </c>
      <c r="G43" s="12">
        <v>67</v>
      </c>
      <c r="H43" s="8">
        <v>2.85</v>
      </c>
      <c r="I43" s="12">
        <v>0</v>
      </c>
    </row>
    <row r="44" spans="2:9" ht="15" customHeight="1" x14ac:dyDescent="0.15">
      <c r="B44" t="s">
        <v>90</v>
      </c>
      <c r="C44" s="12">
        <v>67</v>
      </c>
      <c r="D44" s="8">
        <v>1.43</v>
      </c>
      <c r="E44" s="12">
        <v>9</v>
      </c>
      <c r="F44" s="8">
        <v>0.39</v>
      </c>
      <c r="G44" s="12">
        <v>58</v>
      </c>
      <c r="H44" s="8">
        <v>2.46</v>
      </c>
      <c r="I44" s="12">
        <v>0</v>
      </c>
    </row>
    <row r="45" spans="2:9" ht="15" customHeight="1" x14ac:dyDescent="0.15">
      <c r="B45" t="s">
        <v>101</v>
      </c>
      <c r="C45" s="12">
        <v>67</v>
      </c>
      <c r="D45" s="8">
        <v>1.43</v>
      </c>
      <c r="E45" s="12">
        <v>35</v>
      </c>
      <c r="F45" s="8">
        <v>1.51</v>
      </c>
      <c r="G45" s="12">
        <v>31</v>
      </c>
      <c r="H45" s="8">
        <v>1.32</v>
      </c>
      <c r="I45" s="12">
        <v>1</v>
      </c>
    </row>
    <row r="46" spans="2:9" ht="15" customHeight="1" x14ac:dyDescent="0.15">
      <c r="B46" t="s">
        <v>105</v>
      </c>
      <c r="C46" s="12">
        <v>62</v>
      </c>
      <c r="D46" s="8">
        <v>1.33</v>
      </c>
      <c r="E46" s="12">
        <v>12</v>
      </c>
      <c r="F46" s="8">
        <v>0.52</v>
      </c>
      <c r="G46" s="12">
        <v>50</v>
      </c>
      <c r="H46" s="8">
        <v>2.12</v>
      </c>
      <c r="I46" s="12">
        <v>0</v>
      </c>
    </row>
    <row r="47" spans="2:9" ht="15" customHeight="1" x14ac:dyDescent="0.15">
      <c r="B47" t="s">
        <v>108</v>
      </c>
      <c r="C47" s="12">
        <v>55</v>
      </c>
      <c r="D47" s="8">
        <v>1.18</v>
      </c>
      <c r="E47" s="12">
        <v>4</v>
      </c>
      <c r="F47" s="8">
        <v>0.17</v>
      </c>
      <c r="G47" s="12">
        <v>50</v>
      </c>
      <c r="H47" s="8">
        <v>2.12</v>
      </c>
      <c r="I47" s="12">
        <v>1</v>
      </c>
    </row>
    <row r="48" spans="2:9" ht="15" customHeight="1" x14ac:dyDescent="0.15">
      <c r="B48" t="s">
        <v>109</v>
      </c>
      <c r="C48" s="12">
        <v>43</v>
      </c>
      <c r="D48" s="8">
        <v>0.92</v>
      </c>
      <c r="E48" s="12">
        <v>3</v>
      </c>
      <c r="F48" s="8">
        <v>0.13</v>
      </c>
      <c r="G48" s="12">
        <v>40</v>
      </c>
      <c r="H48" s="8">
        <v>1.7</v>
      </c>
      <c r="I48" s="12">
        <v>0</v>
      </c>
    </row>
    <row r="51" spans="2:9" ht="33" customHeight="1" x14ac:dyDescent="0.15">
      <c r="B51" t="s">
        <v>337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384</v>
      </c>
      <c r="D52" s="8">
        <v>8.2100000000000009</v>
      </c>
      <c r="E52" s="12">
        <v>330</v>
      </c>
      <c r="F52" s="8">
        <v>14.22</v>
      </c>
      <c r="G52" s="12">
        <v>54</v>
      </c>
      <c r="H52" s="8">
        <v>2.29</v>
      </c>
      <c r="I52" s="12">
        <v>0</v>
      </c>
    </row>
    <row r="53" spans="2:9" ht="15" customHeight="1" x14ac:dyDescent="0.15">
      <c r="B53" t="s">
        <v>155</v>
      </c>
      <c r="C53" s="12">
        <v>233</v>
      </c>
      <c r="D53" s="8">
        <v>4.9800000000000004</v>
      </c>
      <c r="E53" s="12">
        <v>197</v>
      </c>
      <c r="F53" s="8">
        <v>8.49</v>
      </c>
      <c r="G53" s="12">
        <v>36</v>
      </c>
      <c r="H53" s="8">
        <v>1.53</v>
      </c>
      <c r="I53" s="12">
        <v>0</v>
      </c>
    </row>
    <row r="54" spans="2:9" ht="15" customHeight="1" x14ac:dyDescent="0.15">
      <c r="B54" t="s">
        <v>156</v>
      </c>
      <c r="C54" s="12">
        <v>177</v>
      </c>
      <c r="D54" s="8">
        <v>3.78</v>
      </c>
      <c r="E54" s="12">
        <v>144</v>
      </c>
      <c r="F54" s="8">
        <v>6.21</v>
      </c>
      <c r="G54" s="12">
        <v>33</v>
      </c>
      <c r="H54" s="8">
        <v>1.4</v>
      </c>
      <c r="I54" s="12">
        <v>0</v>
      </c>
    </row>
    <row r="55" spans="2:9" ht="15" customHeight="1" x14ac:dyDescent="0.15">
      <c r="B55" t="s">
        <v>157</v>
      </c>
      <c r="C55" s="12">
        <v>148</v>
      </c>
      <c r="D55" s="8">
        <v>3.16</v>
      </c>
      <c r="E55" s="12">
        <v>116</v>
      </c>
      <c r="F55" s="8">
        <v>5</v>
      </c>
      <c r="G55" s="12">
        <v>32</v>
      </c>
      <c r="H55" s="8">
        <v>1.36</v>
      </c>
      <c r="I55" s="12">
        <v>0</v>
      </c>
    </row>
    <row r="56" spans="2:9" ht="15" customHeight="1" x14ac:dyDescent="0.15">
      <c r="B56" t="s">
        <v>154</v>
      </c>
      <c r="C56" s="12">
        <v>143</v>
      </c>
      <c r="D56" s="8">
        <v>3.06</v>
      </c>
      <c r="E56" s="12">
        <v>134</v>
      </c>
      <c r="F56" s="8">
        <v>5.78</v>
      </c>
      <c r="G56" s="12">
        <v>9</v>
      </c>
      <c r="H56" s="8">
        <v>0.38</v>
      </c>
      <c r="I56" s="12">
        <v>0</v>
      </c>
    </row>
    <row r="57" spans="2:9" ht="15" customHeight="1" x14ac:dyDescent="0.15">
      <c r="B57" t="s">
        <v>151</v>
      </c>
      <c r="C57" s="12">
        <v>119</v>
      </c>
      <c r="D57" s="8">
        <v>2.54</v>
      </c>
      <c r="E57" s="12">
        <v>110</v>
      </c>
      <c r="F57" s="8">
        <v>4.74</v>
      </c>
      <c r="G57" s="12">
        <v>9</v>
      </c>
      <c r="H57" s="8">
        <v>0.38</v>
      </c>
      <c r="I57" s="12">
        <v>0</v>
      </c>
    </row>
    <row r="58" spans="2:9" ht="15" customHeight="1" x14ac:dyDescent="0.15">
      <c r="B58" t="s">
        <v>150</v>
      </c>
      <c r="C58" s="12">
        <v>118</v>
      </c>
      <c r="D58" s="8">
        <v>2.52</v>
      </c>
      <c r="E58" s="12">
        <v>87</v>
      </c>
      <c r="F58" s="8">
        <v>3.75</v>
      </c>
      <c r="G58" s="12">
        <v>31</v>
      </c>
      <c r="H58" s="8">
        <v>1.32</v>
      </c>
      <c r="I58" s="12">
        <v>0</v>
      </c>
    </row>
    <row r="59" spans="2:9" ht="15" customHeight="1" x14ac:dyDescent="0.15">
      <c r="B59" t="s">
        <v>140</v>
      </c>
      <c r="C59" s="12">
        <v>94</v>
      </c>
      <c r="D59" s="8">
        <v>2.0099999999999998</v>
      </c>
      <c r="E59" s="12">
        <v>16</v>
      </c>
      <c r="F59" s="8">
        <v>0.69</v>
      </c>
      <c r="G59" s="12">
        <v>78</v>
      </c>
      <c r="H59" s="8">
        <v>3.31</v>
      </c>
      <c r="I59" s="12">
        <v>0</v>
      </c>
    </row>
    <row r="60" spans="2:9" ht="15" customHeight="1" x14ac:dyDescent="0.15">
      <c r="B60" t="s">
        <v>153</v>
      </c>
      <c r="C60" s="12">
        <v>93</v>
      </c>
      <c r="D60" s="8">
        <v>1.99</v>
      </c>
      <c r="E60" s="12">
        <v>60</v>
      </c>
      <c r="F60" s="8">
        <v>2.59</v>
      </c>
      <c r="G60" s="12">
        <v>33</v>
      </c>
      <c r="H60" s="8">
        <v>1.4</v>
      </c>
      <c r="I60" s="12">
        <v>0</v>
      </c>
    </row>
    <row r="61" spans="2:9" ht="15" customHeight="1" x14ac:dyDescent="0.15">
      <c r="B61" t="s">
        <v>146</v>
      </c>
      <c r="C61" s="12">
        <v>92</v>
      </c>
      <c r="D61" s="8">
        <v>1.97</v>
      </c>
      <c r="E61" s="12">
        <v>5</v>
      </c>
      <c r="F61" s="8">
        <v>0.22</v>
      </c>
      <c r="G61" s="12">
        <v>87</v>
      </c>
      <c r="H61" s="8">
        <v>3.7</v>
      </c>
      <c r="I61" s="12">
        <v>0</v>
      </c>
    </row>
    <row r="62" spans="2:9" ht="15" customHeight="1" x14ac:dyDescent="0.15">
      <c r="B62" t="s">
        <v>152</v>
      </c>
      <c r="C62" s="12">
        <v>90</v>
      </c>
      <c r="D62" s="8">
        <v>1.92</v>
      </c>
      <c r="E62" s="12">
        <v>89</v>
      </c>
      <c r="F62" s="8">
        <v>3.84</v>
      </c>
      <c r="G62" s="12">
        <v>1</v>
      </c>
      <c r="H62" s="8">
        <v>0.04</v>
      </c>
      <c r="I62" s="12">
        <v>0</v>
      </c>
    </row>
    <row r="63" spans="2:9" ht="15" customHeight="1" x14ac:dyDescent="0.15">
      <c r="B63" t="s">
        <v>149</v>
      </c>
      <c r="C63" s="12">
        <v>86</v>
      </c>
      <c r="D63" s="8">
        <v>1.84</v>
      </c>
      <c r="E63" s="12">
        <v>9</v>
      </c>
      <c r="F63" s="8">
        <v>0.39</v>
      </c>
      <c r="G63" s="12">
        <v>77</v>
      </c>
      <c r="H63" s="8">
        <v>3.27</v>
      </c>
      <c r="I63" s="12">
        <v>0</v>
      </c>
    </row>
    <row r="64" spans="2:9" ht="15" customHeight="1" x14ac:dyDescent="0.15">
      <c r="B64" t="s">
        <v>139</v>
      </c>
      <c r="C64" s="12">
        <v>85</v>
      </c>
      <c r="D64" s="8">
        <v>1.82</v>
      </c>
      <c r="E64" s="12">
        <v>7</v>
      </c>
      <c r="F64" s="8">
        <v>0.3</v>
      </c>
      <c r="G64" s="12">
        <v>78</v>
      </c>
      <c r="H64" s="8">
        <v>3.31</v>
      </c>
      <c r="I64" s="12">
        <v>0</v>
      </c>
    </row>
    <row r="65" spans="2:9" ht="15" customHeight="1" x14ac:dyDescent="0.15">
      <c r="B65" t="s">
        <v>145</v>
      </c>
      <c r="C65" s="12">
        <v>84</v>
      </c>
      <c r="D65" s="8">
        <v>1.8</v>
      </c>
      <c r="E65" s="12">
        <v>42</v>
      </c>
      <c r="F65" s="8">
        <v>1.81</v>
      </c>
      <c r="G65" s="12">
        <v>42</v>
      </c>
      <c r="H65" s="8">
        <v>1.78</v>
      </c>
      <c r="I65" s="12">
        <v>0</v>
      </c>
    </row>
    <row r="66" spans="2:9" ht="15" customHeight="1" x14ac:dyDescent="0.15">
      <c r="B66" t="s">
        <v>159</v>
      </c>
      <c r="C66" s="12">
        <v>79</v>
      </c>
      <c r="D66" s="8">
        <v>1.69</v>
      </c>
      <c r="E66" s="12">
        <v>24</v>
      </c>
      <c r="F66" s="8">
        <v>1.03</v>
      </c>
      <c r="G66" s="12">
        <v>55</v>
      </c>
      <c r="H66" s="8">
        <v>2.34</v>
      </c>
      <c r="I66" s="12">
        <v>0</v>
      </c>
    </row>
    <row r="67" spans="2:9" ht="15" customHeight="1" x14ac:dyDescent="0.15">
      <c r="B67" t="s">
        <v>161</v>
      </c>
      <c r="C67" s="12">
        <v>72</v>
      </c>
      <c r="D67" s="8">
        <v>1.54</v>
      </c>
      <c r="E67" s="12">
        <v>19</v>
      </c>
      <c r="F67" s="8">
        <v>0.82</v>
      </c>
      <c r="G67" s="12">
        <v>53</v>
      </c>
      <c r="H67" s="8">
        <v>2.25</v>
      </c>
      <c r="I67" s="12">
        <v>0</v>
      </c>
    </row>
    <row r="68" spans="2:9" ht="15" customHeight="1" x14ac:dyDescent="0.15">
      <c r="B68" t="s">
        <v>147</v>
      </c>
      <c r="C68" s="12">
        <v>70</v>
      </c>
      <c r="D68" s="8">
        <v>1.5</v>
      </c>
      <c r="E68" s="12">
        <v>27</v>
      </c>
      <c r="F68" s="8">
        <v>1.1599999999999999</v>
      </c>
      <c r="G68" s="12">
        <v>43</v>
      </c>
      <c r="H68" s="8">
        <v>1.83</v>
      </c>
      <c r="I68" s="12">
        <v>0</v>
      </c>
    </row>
    <row r="69" spans="2:9" ht="15" customHeight="1" x14ac:dyDescent="0.15">
      <c r="B69" t="s">
        <v>143</v>
      </c>
      <c r="C69" s="12">
        <v>69</v>
      </c>
      <c r="D69" s="8">
        <v>1.47</v>
      </c>
      <c r="E69" s="12">
        <v>38</v>
      </c>
      <c r="F69" s="8">
        <v>1.64</v>
      </c>
      <c r="G69" s="12">
        <v>31</v>
      </c>
      <c r="H69" s="8">
        <v>1.32</v>
      </c>
      <c r="I69" s="12">
        <v>0</v>
      </c>
    </row>
    <row r="70" spans="2:9" ht="15" customHeight="1" x14ac:dyDescent="0.15">
      <c r="B70" t="s">
        <v>141</v>
      </c>
      <c r="C70" s="12">
        <v>66</v>
      </c>
      <c r="D70" s="8">
        <v>1.41</v>
      </c>
      <c r="E70" s="12">
        <v>13</v>
      </c>
      <c r="F70" s="8">
        <v>0.56000000000000005</v>
      </c>
      <c r="G70" s="12">
        <v>53</v>
      </c>
      <c r="H70" s="8">
        <v>2.25</v>
      </c>
      <c r="I70" s="12">
        <v>0</v>
      </c>
    </row>
    <row r="71" spans="2:9" ht="15" customHeight="1" x14ac:dyDescent="0.15">
      <c r="B71" t="s">
        <v>166</v>
      </c>
      <c r="C71" s="12">
        <v>62</v>
      </c>
      <c r="D71" s="8">
        <v>1.33</v>
      </c>
      <c r="E71" s="12">
        <v>43</v>
      </c>
      <c r="F71" s="8">
        <v>1.85</v>
      </c>
      <c r="G71" s="12">
        <v>19</v>
      </c>
      <c r="H71" s="8">
        <v>0.81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1181</v>
      </c>
      <c r="D6" s="8">
        <v>15.17</v>
      </c>
      <c r="E6" s="12">
        <v>293</v>
      </c>
      <c r="F6" s="8">
        <v>6.87</v>
      </c>
      <c r="G6" s="12">
        <v>887</v>
      </c>
      <c r="H6" s="8">
        <v>25.24</v>
      </c>
      <c r="I6" s="12">
        <v>1</v>
      </c>
    </row>
    <row r="7" spans="2:9" ht="15" customHeight="1" x14ac:dyDescent="0.15">
      <c r="B7" t="s">
        <v>64</v>
      </c>
      <c r="C7" s="12">
        <v>328</v>
      </c>
      <c r="D7" s="8">
        <v>4.21</v>
      </c>
      <c r="E7" s="12">
        <v>79</v>
      </c>
      <c r="F7" s="8">
        <v>1.85</v>
      </c>
      <c r="G7" s="12">
        <v>248</v>
      </c>
      <c r="H7" s="8">
        <v>7.06</v>
      </c>
      <c r="I7" s="12">
        <v>1</v>
      </c>
    </row>
    <row r="8" spans="2:9" ht="15" customHeight="1" x14ac:dyDescent="0.15">
      <c r="B8" t="s">
        <v>65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66</v>
      </c>
      <c r="C9" s="12">
        <v>60</v>
      </c>
      <c r="D9" s="8">
        <v>0.77</v>
      </c>
      <c r="E9" s="12">
        <v>1</v>
      </c>
      <c r="F9" s="8">
        <v>0.02</v>
      </c>
      <c r="G9" s="12">
        <v>59</v>
      </c>
      <c r="H9" s="8">
        <v>1.68</v>
      </c>
      <c r="I9" s="12">
        <v>0</v>
      </c>
    </row>
    <row r="10" spans="2:9" ht="15" customHeight="1" x14ac:dyDescent="0.15">
      <c r="B10" t="s">
        <v>67</v>
      </c>
      <c r="C10" s="12">
        <v>67</v>
      </c>
      <c r="D10" s="8">
        <v>0.86</v>
      </c>
      <c r="E10" s="12">
        <v>32</v>
      </c>
      <c r="F10" s="8">
        <v>0.75</v>
      </c>
      <c r="G10" s="12">
        <v>35</v>
      </c>
      <c r="H10" s="8">
        <v>1</v>
      </c>
      <c r="I10" s="12">
        <v>0</v>
      </c>
    </row>
    <row r="11" spans="2:9" ht="15" customHeight="1" x14ac:dyDescent="0.15">
      <c r="B11" t="s">
        <v>68</v>
      </c>
      <c r="C11" s="12">
        <v>1726</v>
      </c>
      <c r="D11" s="8">
        <v>22.17</v>
      </c>
      <c r="E11" s="12">
        <v>773</v>
      </c>
      <c r="F11" s="8">
        <v>18.13</v>
      </c>
      <c r="G11" s="12">
        <v>952</v>
      </c>
      <c r="H11" s="8">
        <v>27.09</v>
      </c>
      <c r="I11" s="12">
        <v>1</v>
      </c>
    </row>
    <row r="12" spans="2:9" ht="15" customHeight="1" x14ac:dyDescent="0.15">
      <c r="B12" t="s">
        <v>69</v>
      </c>
      <c r="C12" s="12">
        <v>67</v>
      </c>
      <c r="D12" s="8">
        <v>0.86</v>
      </c>
      <c r="E12" s="12">
        <v>16</v>
      </c>
      <c r="F12" s="8">
        <v>0.38</v>
      </c>
      <c r="G12" s="12">
        <v>51</v>
      </c>
      <c r="H12" s="8">
        <v>1.45</v>
      </c>
      <c r="I12" s="12">
        <v>0</v>
      </c>
    </row>
    <row r="13" spans="2:9" ht="15" customHeight="1" x14ac:dyDescent="0.15">
      <c r="B13" t="s">
        <v>70</v>
      </c>
      <c r="C13" s="12">
        <v>829</v>
      </c>
      <c r="D13" s="8">
        <v>10.65</v>
      </c>
      <c r="E13" s="12">
        <v>460</v>
      </c>
      <c r="F13" s="8">
        <v>10.79</v>
      </c>
      <c r="G13" s="12">
        <v>369</v>
      </c>
      <c r="H13" s="8">
        <v>10.5</v>
      </c>
      <c r="I13" s="12">
        <v>0</v>
      </c>
    </row>
    <row r="14" spans="2:9" ht="15" customHeight="1" x14ac:dyDescent="0.15">
      <c r="B14" t="s">
        <v>71</v>
      </c>
      <c r="C14" s="12">
        <v>313</v>
      </c>
      <c r="D14" s="8">
        <v>4.0199999999999996</v>
      </c>
      <c r="E14" s="12">
        <v>157</v>
      </c>
      <c r="F14" s="8">
        <v>3.68</v>
      </c>
      <c r="G14" s="12">
        <v>155</v>
      </c>
      <c r="H14" s="8">
        <v>4.41</v>
      </c>
      <c r="I14" s="12">
        <v>1</v>
      </c>
    </row>
    <row r="15" spans="2:9" ht="15" customHeight="1" x14ac:dyDescent="0.15">
      <c r="B15" t="s">
        <v>72</v>
      </c>
      <c r="C15" s="12">
        <v>1199</v>
      </c>
      <c r="D15" s="8">
        <v>15.4</v>
      </c>
      <c r="E15" s="12">
        <v>1035</v>
      </c>
      <c r="F15" s="8">
        <v>24.28</v>
      </c>
      <c r="G15" s="12">
        <v>164</v>
      </c>
      <c r="H15" s="8">
        <v>4.67</v>
      </c>
      <c r="I15" s="12">
        <v>0</v>
      </c>
    </row>
    <row r="16" spans="2:9" ht="15" customHeight="1" x14ac:dyDescent="0.15">
      <c r="B16" t="s">
        <v>73</v>
      </c>
      <c r="C16" s="12">
        <v>1095</v>
      </c>
      <c r="D16" s="8">
        <v>14.07</v>
      </c>
      <c r="E16" s="12">
        <v>809</v>
      </c>
      <c r="F16" s="8">
        <v>18.98</v>
      </c>
      <c r="G16" s="12">
        <v>286</v>
      </c>
      <c r="H16" s="8">
        <v>8.14</v>
      </c>
      <c r="I16" s="12">
        <v>0</v>
      </c>
    </row>
    <row r="17" spans="2:9" ht="15" customHeight="1" x14ac:dyDescent="0.15">
      <c r="B17" t="s">
        <v>74</v>
      </c>
      <c r="C17" s="12">
        <v>299</v>
      </c>
      <c r="D17" s="8">
        <v>3.84</v>
      </c>
      <c r="E17" s="12">
        <v>232</v>
      </c>
      <c r="F17" s="8">
        <v>5.44</v>
      </c>
      <c r="G17" s="12">
        <v>65</v>
      </c>
      <c r="H17" s="8">
        <v>1.85</v>
      </c>
      <c r="I17" s="12">
        <v>2</v>
      </c>
    </row>
    <row r="18" spans="2:9" ht="15" customHeight="1" x14ac:dyDescent="0.15">
      <c r="B18" t="s">
        <v>75</v>
      </c>
      <c r="C18" s="12">
        <v>459</v>
      </c>
      <c r="D18" s="8">
        <v>5.9</v>
      </c>
      <c r="E18" s="12">
        <v>325</v>
      </c>
      <c r="F18" s="8">
        <v>7.62</v>
      </c>
      <c r="G18" s="12">
        <v>132</v>
      </c>
      <c r="H18" s="8">
        <v>3.76</v>
      </c>
      <c r="I18" s="12">
        <v>2</v>
      </c>
    </row>
    <row r="19" spans="2:9" ht="15" customHeight="1" x14ac:dyDescent="0.15">
      <c r="B19" t="s">
        <v>76</v>
      </c>
      <c r="C19" s="12">
        <v>161</v>
      </c>
      <c r="D19" s="8">
        <v>2.0699999999999998</v>
      </c>
      <c r="E19" s="12">
        <v>51</v>
      </c>
      <c r="F19" s="8">
        <v>1.2</v>
      </c>
      <c r="G19" s="12">
        <v>110</v>
      </c>
      <c r="H19" s="8">
        <v>3.13</v>
      </c>
      <c r="I19" s="12">
        <v>0</v>
      </c>
    </row>
    <row r="20" spans="2:9" ht="15" customHeight="1" x14ac:dyDescent="0.15">
      <c r="B20" s="9" t="s">
        <v>216</v>
      </c>
      <c r="C20" s="12">
        <f>SUM(LTBL_14201[総数／事業所数])</f>
        <v>7785</v>
      </c>
      <c r="E20" s="12">
        <f>SUBTOTAL(109,LTBL_14201[個人／事業所数])</f>
        <v>4263</v>
      </c>
      <c r="G20" s="12">
        <f>SUBTOTAL(109,LTBL_14201[法人／事業所数])</f>
        <v>3514</v>
      </c>
      <c r="I20" s="12">
        <f>SUBTOTAL(109,LTBL_14201[法人以外の団体／事業所数])</f>
        <v>8</v>
      </c>
    </row>
    <row r="21" spans="2:9" ht="15" customHeight="1" x14ac:dyDescent="0.15">
      <c r="E21" s="11">
        <f>LTBL_14201[[#Totals],[個人／事業所数]]/LTBL_14201[[#Totals],[総数／事業所数]]</f>
        <v>0.54759152215799611</v>
      </c>
      <c r="G21" s="11">
        <f>LTBL_14201[[#Totals],[法人／事業所数]]/LTBL_14201[[#Totals],[総数／事業所数]]</f>
        <v>0.45138086062941557</v>
      </c>
      <c r="I21" s="11">
        <f>LTBL_14201[[#Totals],[法人以外の団体／事業所数]]/LTBL_14201[[#Totals],[総数／事業所数]]</f>
        <v>1.0276172125883109E-3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339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9</v>
      </c>
      <c r="D24" t="s">
        <v>217</v>
      </c>
      <c r="E24">
        <v>0</v>
      </c>
      <c r="F24" t="s">
        <v>219</v>
      </c>
      <c r="G24">
        <v>9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2</v>
      </c>
      <c r="D25" t="s">
        <v>217</v>
      </c>
      <c r="E25">
        <v>0</v>
      </c>
      <c r="F25" t="s">
        <v>219</v>
      </c>
      <c r="G25">
        <v>2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1159</v>
      </c>
      <c r="D29" s="8">
        <v>14.89</v>
      </c>
      <c r="E29" s="12">
        <v>1018</v>
      </c>
      <c r="F29" s="8">
        <v>23.88</v>
      </c>
      <c r="G29" s="12">
        <v>141</v>
      </c>
      <c r="H29" s="8">
        <v>4.01</v>
      </c>
      <c r="I29" s="12">
        <v>0</v>
      </c>
    </row>
    <row r="30" spans="2:9" ht="15" customHeight="1" x14ac:dyDescent="0.15">
      <c r="B30" t="s">
        <v>100</v>
      </c>
      <c r="C30" s="12">
        <v>906</v>
      </c>
      <c r="D30" s="8">
        <v>11.64</v>
      </c>
      <c r="E30" s="12">
        <v>718</v>
      </c>
      <c r="F30" s="8">
        <v>16.84</v>
      </c>
      <c r="G30" s="12">
        <v>188</v>
      </c>
      <c r="H30" s="8">
        <v>5.35</v>
      </c>
      <c r="I30" s="12">
        <v>0</v>
      </c>
    </row>
    <row r="31" spans="2:9" ht="15" customHeight="1" x14ac:dyDescent="0.15">
      <c r="B31" t="s">
        <v>96</v>
      </c>
      <c r="C31" s="12">
        <v>675</v>
      </c>
      <c r="D31" s="8">
        <v>8.67</v>
      </c>
      <c r="E31" s="12">
        <v>443</v>
      </c>
      <c r="F31" s="8">
        <v>10.39</v>
      </c>
      <c r="G31" s="12">
        <v>232</v>
      </c>
      <c r="H31" s="8">
        <v>6.6</v>
      </c>
      <c r="I31" s="12">
        <v>0</v>
      </c>
    </row>
    <row r="32" spans="2:9" ht="15" customHeight="1" x14ac:dyDescent="0.15">
      <c r="B32" t="s">
        <v>94</v>
      </c>
      <c r="C32" s="12">
        <v>579</v>
      </c>
      <c r="D32" s="8">
        <v>7.44</v>
      </c>
      <c r="E32" s="12">
        <v>297</v>
      </c>
      <c r="F32" s="8">
        <v>6.97</v>
      </c>
      <c r="G32" s="12">
        <v>282</v>
      </c>
      <c r="H32" s="8">
        <v>8.0299999999999994</v>
      </c>
      <c r="I32" s="12">
        <v>0</v>
      </c>
    </row>
    <row r="33" spans="2:9" ht="15" customHeight="1" x14ac:dyDescent="0.15">
      <c r="B33" t="s">
        <v>85</v>
      </c>
      <c r="C33" s="12">
        <v>454</v>
      </c>
      <c r="D33" s="8">
        <v>5.83</v>
      </c>
      <c r="E33" s="12">
        <v>85</v>
      </c>
      <c r="F33" s="8">
        <v>1.99</v>
      </c>
      <c r="G33" s="12">
        <v>369</v>
      </c>
      <c r="H33" s="8">
        <v>10.5</v>
      </c>
      <c r="I33" s="12">
        <v>0</v>
      </c>
    </row>
    <row r="34" spans="2:9" ht="15" customHeight="1" x14ac:dyDescent="0.15">
      <c r="B34" t="s">
        <v>92</v>
      </c>
      <c r="C34" s="12">
        <v>453</v>
      </c>
      <c r="D34" s="8">
        <v>5.82</v>
      </c>
      <c r="E34" s="12">
        <v>247</v>
      </c>
      <c r="F34" s="8">
        <v>5.79</v>
      </c>
      <c r="G34" s="12">
        <v>205</v>
      </c>
      <c r="H34" s="8">
        <v>5.83</v>
      </c>
      <c r="I34" s="12">
        <v>1</v>
      </c>
    </row>
    <row r="35" spans="2:9" ht="15" customHeight="1" x14ac:dyDescent="0.15">
      <c r="B35" t="s">
        <v>86</v>
      </c>
      <c r="C35" s="12">
        <v>426</v>
      </c>
      <c r="D35" s="8">
        <v>5.47</v>
      </c>
      <c r="E35" s="12">
        <v>159</v>
      </c>
      <c r="F35" s="8">
        <v>3.73</v>
      </c>
      <c r="G35" s="12">
        <v>267</v>
      </c>
      <c r="H35" s="8">
        <v>7.6</v>
      </c>
      <c r="I35" s="12">
        <v>0</v>
      </c>
    </row>
    <row r="36" spans="2:9" ht="15" customHeight="1" x14ac:dyDescent="0.15">
      <c r="B36" t="s">
        <v>103</v>
      </c>
      <c r="C36" s="12">
        <v>365</v>
      </c>
      <c r="D36" s="8">
        <v>4.6900000000000004</v>
      </c>
      <c r="E36" s="12">
        <v>318</v>
      </c>
      <c r="F36" s="8">
        <v>7.46</v>
      </c>
      <c r="G36" s="12">
        <v>47</v>
      </c>
      <c r="H36" s="8">
        <v>1.34</v>
      </c>
      <c r="I36" s="12">
        <v>0</v>
      </c>
    </row>
    <row r="37" spans="2:9" ht="15" customHeight="1" x14ac:dyDescent="0.15">
      <c r="B37" t="s">
        <v>87</v>
      </c>
      <c r="C37" s="12">
        <v>301</v>
      </c>
      <c r="D37" s="8">
        <v>3.87</v>
      </c>
      <c r="E37" s="12">
        <v>49</v>
      </c>
      <c r="F37" s="8">
        <v>1.1499999999999999</v>
      </c>
      <c r="G37" s="12">
        <v>251</v>
      </c>
      <c r="H37" s="8">
        <v>7.14</v>
      </c>
      <c r="I37" s="12">
        <v>1</v>
      </c>
    </row>
    <row r="38" spans="2:9" ht="15" customHeight="1" x14ac:dyDescent="0.15">
      <c r="B38" t="s">
        <v>102</v>
      </c>
      <c r="C38" s="12">
        <v>299</v>
      </c>
      <c r="D38" s="8">
        <v>3.84</v>
      </c>
      <c r="E38" s="12">
        <v>232</v>
      </c>
      <c r="F38" s="8">
        <v>5.44</v>
      </c>
      <c r="G38" s="12">
        <v>65</v>
      </c>
      <c r="H38" s="8">
        <v>1.85</v>
      </c>
      <c r="I38" s="12">
        <v>2</v>
      </c>
    </row>
    <row r="39" spans="2:9" ht="15" customHeight="1" x14ac:dyDescent="0.15">
      <c r="B39" t="s">
        <v>91</v>
      </c>
      <c r="C39" s="12">
        <v>219</v>
      </c>
      <c r="D39" s="8">
        <v>2.81</v>
      </c>
      <c r="E39" s="12">
        <v>103</v>
      </c>
      <c r="F39" s="8">
        <v>2.42</v>
      </c>
      <c r="G39" s="12">
        <v>116</v>
      </c>
      <c r="H39" s="8">
        <v>3.3</v>
      </c>
      <c r="I39" s="12">
        <v>0</v>
      </c>
    </row>
    <row r="40" spans="2:9" ht="15" customHeight="1" x14ac:dyDescent="0.15">
      <c r="B40" t="s">
        <v>93</v>
      </c>
      <c r="C40" s="12">
        <v>198</v>
      </c>
      <c r="D40" s="8">
        <v>2.54</v>
      </c>
      <c r="E40" s="12">
        <v>82</v>
      </c>
      <c r="F40" s="8">
        <v>1.92</v>
      </c>
      <c r="G40" s="12">
        <v>116</v>
      </c>
      <c r="H40" s="8">
        <v>3.3</v>
      </c>
      <c r="I40" s="12">
        <v>0</v>
      </c>
    </row>
    <row r="41" spans="2:9" ht="15" customHeight="1" x14ac:dyDescent="0.15">
      <c r="B41" t="s">
        <v>97</v>
      </c>
      <c r="C41" s="12">
        <v>165</v>
      </c>
      <c r="D41" s="8">
        <v>2.12</v>
      </c>
      <c r="E41" s="12">
        <v>116</v>
      </c>
      <c r="F41" s="8">
        <v>2.72</v>
      </c>
      <c r="G41" s="12">
        <v>48</v>
      </c>
      <c r="H41" s="8">
        <v>1.37</v>
      </c>
      <c r="I41" s="12">
        <v>1</v>
      </c>
    </row>
    <row r="42" spans="2:9" ht="15" customHeight="1" x14ac:dyDescent="0.15">
      <c r="B42" t="s">
        <v>98</v>
      </c>
      <c r="C42" s="12">
        <v>143</v>
      </c>
      <c r="D42" s="8">
        <v>1.84</v>
      </c>
      <c r="E42" s="12">
        <v>41</v>
      </c>
      <c r="F42" s="8">
        <v>0.96</v>
      </c>
      <c r="G42" s="12">
        <v>102</v>
      </c>
      <c r="H42" s="8">
        <v>2.9</v>
      </c>
      <c r="I42" s="12">
        <v>0</v>
      </c>
    </row>
    <row r="43" spans="2:9" ht="15" customHeight="1" x14ac:dyDescent="0.15">
      <c r="B43" t="s">
        <v>95</v>
      </c>
      <c r="C43" s="12">
        <v>131</v>
      </c>
      <c r="D43" s="8">
        <v>1.68</v>
      </c>
      <c r="E43" s="12">
        <v>11</v>
      </c>
      <c r="F43" s="8">
        <v>0.26</v>
      </c>
      <c r="G43" s="12">
        <v>120</v>
      </c>
      <c r="H43" s="8">
        <v>3.41</v>
      </c>
      <c r="I43" s="12">
        <v>0</v>
      </c>
    </row>
    <row r="44" spans="2:9" ht="15" customHeight="1" x14ac:dyDescent="0.15">
      <c r="B44" t="s">
        <v>101</v>
      </c>
      <c r="C44" s="12">
        <v>98</v>
      </c>
      <c r="D44" s="8">
        <v>1.26</v>
      </c>
      <c r="E44" s="12">
        <v>40</v>
      </c>
      <c r="F44" s="8">
        <v>0.94</v>
      </c>
      <c r="G44" s="12">
        <v>58</v>
      </c>
      <c r="H44" s="8">
        <v>1.65</v>
      </c>
      <c r="I44" s="12">
        <v>0</v>
      </c>
    </row>
    <row r="45" spans="2:9" ht="15" customHeight="1" x14ac:dyDescent="0.15">
      <c r="B45" t="s">
        <v>108</v>
      </c>
      <c r="C45" s="12">
        <v>94</v>
      </c>
      <c r="D45" s="8">
        <v>1.21</v>
      </c>
      <c r="E45" s="12">
        <v>7</v>
      </c>
      <c r="F45" s="8">
        <v>0.16</v>
      </c>
      <c r="G45" s="12">
        <v>85</v>
      </c>
      <c r="H45" s="8">
        <v>2.42</v>
      </c>
      <c r="I45" s="12">
        <v>2</v>
      </c>
    </row>
    <row r="46" spans="2:9" ht="15" customHeight="1" x14ac:dyDescent="0.15">
      <c r="B46" t="s">
        <v>116</v>
      </c>
      <c r="C46" s="12">
        <v>91</v>
      </c>
      <c r="D46" s="8">
        <v>1.17</v>
      </c>
      <c r="E46" s="12">
        <v>51</v>
      </c>
      <c r="F46" s="8">
        <v>1.2</v>
      </c>
      <c r="G46" s="12">
        <v>40</v>
      </c>
      <c r="H46" s="8">
        <v>1.1399999999999999</v>
      </c>
      <c r="I46" s="12">
        <v>0</v>
      </c>
    </row>
    <row r="47" spans="2:9" ht="15" customHeight="1" x14ac:dyDescent="0.15">
      <c r="B47" t="s">
        <v>120</v>
      </c>
      <c r="C47" s="12">
        <v>73</v>
      </c>
      <c r="D47" s="8">
        <v>0.94</v>
      </c>
      <c r="E47" s="12">
        <v>16</v>
      </c>
      <c r="F47" s="8">
        <v>0.38</v>
      </c>
      <c r="G47" s="12">
        <v>57</v>
      </c>
      <c r="H47" s="8">
        <v>1.62</v>
      </c>
      <c r="I47" s="12">
        <v>0</v>
      </c>
    </row>
    <row r="48" spans="2:9" ht="15" customHeight="1" x14ac:dyDescent="0.15">
      <c r="B48" t="s">
        <v>115</v>
      </c>
      <c r="C48" s="12">
        <v>67</v>
      </c>
      <c r="D48" s="8">
        <v>0.86</v>
      </c>
      <c r="E48" s="12">
        <v>16</v>
      </c>
      <c r="F48" s="8">
        <v>0.38</v>
      </c>
      <c r="G48" s="12">
        <v>51</v>
      </c>
      <c r="H48" s="8">
        <v>1.45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479</v>
      </c>
      <c r="D52" s="8">
        <v>6.15</v>
      </c>
      <c r="E52" s="12">
        <v>393</v>
      </c>
      <c r="F52" s="8">
        <v>9.2200000000000006</v>
      </c>
      <c r="G52" s="12">
        <v>86</v>
      </c>
      <c r="H52" s="8">
        <v>2.4500000000000002</v>
      </c>
      <c r="I52" s="12">
        <v>0</v>
      </c>
    </row>
    <row r="53" spans="2:9" ht="15" customHeight="1" x14ac:dyDescent="0.15">
      <c r="B53" t="s">
        <v>151</v>
      </c>
      <c r="C53" s="12">
        <v>390</v>
      </c>
      <c r="D53" s="8">
        <v>5.01</v>
      </c>
      <c r="E53" s="12">
        <v>362</v>
      </c>
      <c r="F53" s="8">
        <v>8.49</v>
      </c>
      <c r="G53" s="12">
        <v>28</v>
      </c>
      <c r="H53" s="8">
        <v>0.8</v>
      </c>
      <c r="I53" s="12">
        <v>0</v>
      </c>
    </row>
    <row r="54" spans="2:9" ht="15" customHeight="1" x14ac:dyDescent="0.15">
      <c r="B54" t="s">
        <v>148</v>
      </c>
      <c r="C54" s="12">
        <v>389</v>
      </c>
      <c r="D54" s="8">
        <v>5</v>
      </c>
      <c r="E54" s="12">
        <v>299</v>
      </c>
      <c r="F54" s="8">
        <v>7.01</v>
      </c>
      <c r="G54" s="12">
        <v>90</v>
      </c>
      <c r="H54" s="8">
        <v>2.56</v>
      </c>
      <c r="I54" s="12">
        <v>0</v>
      </c>
    </row>
    <row r="55" spans="2:9" ht="15" customHeight="1" x14ac:dyDescent="0.15">
      <c r="B55" t="s">
        <v>152</v>
      </c>
      <c r="C55" s="12">
        <v>330</v>
      </c>
      <c r="D55" s="8">
        <v>4.24</v>
      </c>
      <c r="E55" s="12">
        <v>321</v>
      </c>
      <c r="F55" s="8">
        <v>7.53</v>
      </c>
      <c r="G55" s="12">
        <v>9</v>
      </c>
      <c r="H55" s="8">
        <v>0.26</v>
      </c>
      <c r="I55" s="12">
        <v>0</v>
      </c>
    </row>
    <row r="56" spans="2:9" ht="15" customHeight="1" x14ac:dyDescent="0.15">
      <c r="B56" t="s">
        <v>157</v>
      </c>
      <c r="C56" s="12">
        <v>246</v>
      </c>
      <c r="D56" s="8">
        <v>3.16</v>
      </c>
      <c r="E56" s="12">
        <v>214</v>
      </c>
      <c r="F56" s="8">
        <v>5.0199999999999996</v>
      </c>
      <c r="G56" s="12">
        <v>32</v>
      </c>
      <c r="H56" s="8">
        <v>0.91</v>
      </c>
      <c r="I56" s="12">
        <v>0</v>
      </c>
    </row>
    <row r="57" spans="2:9" ht="15" customHeight="1" x14ac:dyDescent="0.15">
      <c r="B57" t="s">
        <v>145</v>
      </c>
      <c r="C57" s="12">
        <v>232</v>
      </c>
      <c r="D57" s="8">
        <v>2.98</v>
      </c>
      <c r="E57" s="12">
        <v>141</v>
      </c>
      <c r="F57" s="8">
        <v>3.31</v>
      </c>
      <c r="G57" s="12">
        <v>91</v>
      </c>
      <c r="H57" s="8">
        <v>2.59</v>
      </c>
      <c r="I57" s="12">
        <v>0</v>
      </c>
    </row>
    <row r="58" spans="2:9" ht="15" customHeight="1" x14ac:dyDescent="0.15">
      <c r="B58" t="s">
        <v>154</v>
      </c>
      <c r="C58" s="12">
        <v>228</v>
      </c>
      <c r="D58" s="8">
        <v>2.93</v>
      </c>
      <c r="E58" s="12">
        <v>208</v>
      </c>
      <c r="F58" s="8">
        <v>4.88</v>
      </c>
      <c r="G58" s="12">
        <v>20</v>
      </c>
      <c r="H58" s="8">
        <v>0.56999999999999995</v>
      </c>
      <c r="I58" s="12">
        <v>0</v>
      </c>
    </row>
    <row r="59" spans="2:9" ht="15" customHeight="1" x14ac:dyDescent="0.15">
      <c r="B59" t="s">
        <v>156</v>
      </c>
      <c r="C59" s="12">
        <v>215</v>
      </c>
      <c r="D59" s="8">
        <v>2.76</v>
      </c>
      <c r="E59" s="12">
        <v>177</v>
      </c>
      <c r="F59" s="8">
        <v>4.1500000000000004</v>
      </c>
      <c r="G59" s="12">
        <v>36</v>
      </c>
      <c r="H59" s="8">
        <v>1.02</v>
      </c>
      <c r="I59" s="12">
        <v>2</v>
      </c>
    </row>
    <row r="60" spans="2:9" ht="15" customHeight="1" x14ac:dyDescent="0.15">
      <c r="B60" t="s">
        <v>150</v>
      </c>
      <c r="C60" s="12">
        <v>203</v>
      </c>
      <c r="D60" s="8">
        <v>2.61</v>
      </c>
      <c r="E60" s="12">
        <v>160</v>
      </c>
      <c r="F60" s="8">
        <v>3.75</v>
      </c>
      <c r="G60" s="12">
        <v>43</v>
      </c>
      <c r="H60" s="8">
        <v>1.22</v>
      </c>
      <c r="I60" s="12">
        <v>0</v>
      </c>
    </row>
    <row r="61" spans="2:9" ht="15" customHeight="1" x14ac:dyDescent="0.15">
      <c r="B61" t="s">
        <v>173</v>
      </c>
      <c r="C61" s="12">
        <v>145</v>
      </c>
      <c r="D61" s="8">
        <v>1.86</v>
      </c>
      <c r="E61" s="12">
        <v>114</v>
      </c>
      <c r="F61" s="8">
        <v>2.67</v>
      </c>
      <c r="G61" s="12">
        <v>31</v>
      </c>
      <c r="H61" s="8">
        <v>0.88</v>
      </c>
      <c r="I61" s="12">
        <v>0</v>
      </c>
    </row>
    <row r="62" spans="2:9" ht="15" customHeight="1" x14ac:dyDescent="0.15">
      <c r="B62" t="s">
        <v>143</v>
      </c>
      <c r="C62" s="12">
        <v>142</v>
      </c>
      <c r="D62" s="8">
        <v>1.82</v>
      </c>
      <c r="E62" s="12">
        <v>67</v>
      </c>
      <c r="F62" s="8">
        <v>1.57</v>
      </c>
      <c r="G62" s="12">
        <v>74</v>
      </c>
      <c r="H62" s="8">
        <v>2.11</v>
      </c>
      <c r="I62" s="12">
        <v>1</v>
      </c>
    </row>
    <row r="63" spans="2:9" ht="15" customHeight="1" x14ac:dyDescent="0.15">
      <c r="B63" t="s">
        <v>140</v>
      </c>
      <c r="C63" s="12">
        <v>137</v>
      </c>
      <c r="D63" s="8">
        <v>1.76</v>
      </c>
      <c r="E63" s="12">
        <v>28</v>
      </c>
      <c r="F63" s="8">
        <v>0.66</v>
      </c>
      <c r="G63" s="12">
        <v>108</v>
      </c>
      <c r="H63" s="8">
        <v>3.07</v>
      </c>
      <c r="I63" s="12">
        <v>1</v>
      </c>
    </row>
    <row r="64" spans="2:9" ht="15" customHeight="1" x14ac:dyDescent="0.15">
      <c r="B64" t="s">
        <v>153</v>
      </c>
      <c r="C64" s="12">
        <v>130</v>
      </c>
      <c r="D64" s="8">
        <v>1.67</v>
      </c>
      <c r="E64" s="12">
        <v>73</v>
      </c>
      <c r="F64" s="8">
        <v>1.71</v>
      </c>
      <c r="G64" s="12">
        <v>57</v>
      </c>
      <c r="H64" s="8">
        <v>1.62</v>
      </c>
      <c r="I64" s="12">
        <v>0</v>
      </c>
    </row>
    <row r="65" spans="2:9" ht="15" customHeight="1" x14ac:dyDescent="0.15">
      <c r="B65" t="s">
        <v>160</v>
      </c>
      <c r="C65" s="12">
        <v>127</v>
      </c>
      <c r="D65" s="8">
        <v>1.63</v>
      </c>
      <c r="E65" s="12">
        <v>49</v>
      </c>
      <c r="F65" s="8">
        <v>1.1499999999999999</v>
      </c>
      <c r="G65" s="12">
        <v>78</v>
      </c>
      <c r="H65" s="8">
        <v>2.2200000000000002</v>
      </c>
      <c r="I65" s="12">
        <v>0</v>
      </c>
    </row>
    <row r="66" spans="2:9" ht="15" customHeight="1" x14ac:dyDescent="0.15">
      <c r="B66" t="s">
        <v>138</v>
      </c>
      <c r="C66" s="12">
        <v>118</v>
      </c>
      <c r="D66" s="8">
        <v>1.52</v>
      </c>
      <c r="E66" s="12">
        <v>12</v>
      </c>
      <c r="F66" s="8">
        <v>0.28000000000000003</v>
      </c>
      <c r="G66" s="12">
        <v>106</v>
      </c>
      <c r="H66" s="8">
        <v>3.02</v>
      </c>
      <c r="I66" s="12">
        <v>0</v>
      </c>
    </row>
    <row r="67" spans="2:9" ht="15" customHeight="1" x14ac:dyDescent="0.15">
      <c r="B67" t="s">
        <v>141</v>
      </c>
      <c r="C67" s="12">
        <v>118</v>
      </c>
      <c r="D67" s="8">
        <v>1.52</v>
      </c>
      <c r="E67" s="12">
        <v>18</v>
      </c>
      <c r="F67" s="8">
        <v>0.42</v>
      </c>
      <c r="G67" s="12">
        <v>100</v>
      </c>
      <c r="H67" s="8">
        <v>2.85</v>
      </c>
      <c r="I67" s="12">
        <v>0</v>
      </c>
    </row>
    <row r="68" spans="2:9" ht="15" customHeight="1" x14ac:dyDescent="0.15">
      <c r="B68" t="s">
        <v>174</v>
      </c>
      <c r="C68" s="12">
        <v>113</v>
      </c>
      <c r="D68" s="8">
        <v>1.45</v>
      </c>
      <c r="E68" s="12">
        <v>49</v>
      </c>
      <c r="F68" s="8">
        <v>1.1499999999999999</v>
      </c>
      <c r="G68" s="12">
        <v>64</v>
      </c>
      <c r="H68" s="8">
        <v>1.82</v>
      </c>
      <c r="I68" s="12">
        <v>0</v>
      </c>
    </row>
    <row r="69" spans="2:9" ht="15" customHeight="1" x14ac:dyDescent="0.15">
      <c r="B69" t="s">
        <v>166</v>
      </c>
      <c r="C69" s="12">
        <v>111</v>
      </c>
      <c r="D69" s="8">
        <v>1.43</v>
      </c>
      <c r="E69" s="12">
        <v>69</v>
      </c>
      <c r="F69" s="8">
        <v>1.62</v>
      </c>
      <c r="G69" s="12">
        <v>42</v>
      </c>
      <c r="H69" s="8">
        <v>1.2</v>
      </c>
      <c r="I69" s="12">
        <v>0</v>
      </c>
    </row>
    <row r="70" spans="2:9" ht="15" customHeight="1" x14ac:dyDescent="0.15">
      <c r="B70" t="s">
        <v>161</v>
      </c>
      <c r="C70" s="12">
        <v>109</v>
      </c>
      <c r="D70" s="8">
        <v>1.4</v>
      </c>
      <c r="E70" s="12">
        <v>34</v>
      </c>
      <c r="F70" s="8">
        <v>0.8</v>
      </c>
      <c r="G70" s="12">
        <v>75</v>
      </c>
      <c r="H70" s="8">
        <v>2.13</v>
      </c>
      <c r="I70" s="12">
        <v>0</v>
      </c>
    </row>
    <row r="71" spans="2:9" ht="15" customHeight="1" x14ac:dyDescent="0.15">
      <c r="B71" t="s">
        <v>144</v>
      </c>
      <c r="C71" s="12">
        <v>107</v>
      </c>
      <c r="D71" s="8">
        <v>1.37</v>
      </c>
      <c r="E71" s="12">
        <v>40</v>
      </c>
      <c r="F71" s="8">
        <v>0.94</v>
      </c>
      <c r="G71" s="12">
        <v>67</v>
      </c>
      <c r="H71" s="8">
        <v>1.91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340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796</v>
      </c>
      <c r="D6" s="8">
        <v>14.38</v>
      </c>
      <c r="E6" s="12">
        <v>141</v>
      </c>
      <c r="F6" s="8">
        <v>5.1100000000000003</v>
      </c>
      <c r="G6" s="12">
        <v>655</v>
      </c>
      <c r="H6" s="8">
        <v>23.68</v>
      </c>
      <c r="I6" s="12">
        <v>0</v>
      </c>
    </row>
    <row r="7" spans="2:9" ht="15" customHeight="1" x14ac:dyDescent="0.15">
      <c r="B7" t="s">
        <v>64</v>
      </c>
      <c r="C7" s="12">
        <v>395</v>
      </c>
      <c r="D7" s="8">
        <v>7.14</v>
      </c>
      <c r="E7" s="12">
        <v>80</v>
      </c>
      <c r="F7" s="8">
        <v>2.9</v>
      </c>
      <c r="G7" s="12">
        <v>314</v>
      </c>
      <c r="H7" s="8">
        <v>11.35</v>
      </c>
      <c r="I7" s="12">
        <v>1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37</v>
      </c>
      <c r="D9" s="8">
        <v>0.67</v>
      </c>
      <c r="E9" s="12">
        <v>5</v>
      </c>
      <c r="F9" s="8">
        <v>0.18</v>
      </c>
      <c r="G9" s="12">
        <v>32</v>
      </c>
      <c r="H9" s="8">
        <v>1.1599999999999999</v>
      </c>
      <c r="I9" s="12">
        <v>0</v>
      </c>
    </row>
    <row r="10" spans="2:9" ht="15" customHeight="1" x14ac:dyDescent="0.15">
      <c r="B10" t="s">
        <v>67</v>
      </c>
      <c r="C10" s="12">
        <v>40</v>
      </c>
      <c r="D10" s="8">
        <v>0.72</v>
      </c>
      <c r="E10" s="12">
        <v>8</v>
      </c>
      <c r="F10" s="8">
        <v>0.28999999999999998</v>
      </c>
      <c r="G10" s="12">
        <v>32</v>
      </c>
      <c r="H10" s="8">
        <v>1.1599999999999999</v>
      </c>
      <c r="I10" s="12">
        <v>0</v>
      </c>
    </row>
    <row r="11" spans="2:9" ht="15" customHeight="1" x14ac:dyDescent="0.15">
      <c r="B11" t="s">
        <v>68</v>
      </c>
      <c r="C11" s="12">
        <v>1224</v>
      </c>
      <c r="D11" s="8">
        <v>22.12</v>
      </c>
      <c r="E11" s="12">
        <v>497</v>
      </c>
      <c r="F11" s="8">
        <v>18.010000000000002</v>
      </c>
      <c r="G11" s="12">
        <v>726</v>
      </c>
      <c r="H11" s="8">
        <v>26.25</v>
      </c>
      <c r="I11" s="12">
        <v>1</v>
      </c>
    </row>
    <row r="12" spans="2:9" ht="15" customHeight="1" x14ac:dyDescent="0.15">
      <c r="B12" t="s">
        <v>69</v>
      </c>
      <c r="C12" s="12">
        <v>54</v>
      </c>
      <c r="D12" s="8">
        <v>0.98</v>
      </c>
      <c r="E12" s="12">
        <v>13</v>
      </c>
      <c r="F12" s="8">
        <v>0.47</v>
      </c>
      <c r="G12" s="12">
        <v>41</v>
      </c>
      <c r="H12" s="8">
        <v>1.48</v>
      </c>
      <c r="I12" s="12">
        <v>0</v>
      </c>
    </row>
    <row r="13" spans="2:9" ht="15" customHeight="1" x14ac:dyDescent="0.15">
      <c r="B13" t="s">
        <v>70</v>
      </c>
      <c r="C13" s="12">
        <v>804</v>
      </c>
      <c r="D13" s="8">
        <v>14.53</v>
      </c>
      <c r="E13" s="12">
        <v>462</v>
      </c>
      <c r="F13" s="8">
        <v>16.75</v>
      </c>
      <c r="G13" s="12">
        <v>341</v>
      </c>
      <c r="H13" s="8">
        <v>12.33</v>
      </c>
      <c r="I13" s="12">
        <v>1</v>
      </c>
    </row>
    <row r="14" spans="2:9" ht="15" customHeight="1" x14ac:dyDescent="0.15">
      <c r="B14" t="s">
        <v>71</v>
      </c>
      <c r="C14" s="12">
        <v>225</v>
      </c>
      <c r="D14" s="8">
        <v>4.07</v>
      </c>
      <c r="E14" s="12">
        <v>108</v>
      </c>
      <c r="F14" s="8">
        <v>3.91</v>
      </c>
      <c r="G14" s="12">
        <v>117</v>
      </c>
      <c r="H14" s="8">
        <v>4.2300000000000004</v>
      </c>
      <c r="I14" s="12">
        <v>0</v>
      </c>
    </row>
    <row r="15" spans="2:9" ht="15" customHeight="1" x14ac:dyDescent="0.15">
      <c r="B15" t="s">
        <v>72</v>
      </c>
      <c r="C15" s="12">
        <v>721</v>
      </c>
      <c r="D15" s="8">
        <v>13.03</v>
      </c>
      <c r="E15" s="12">
        <v>587</v>
      </c>
      <c r="F15" s="8">
        <v>21.28</v>
      </c>
      <c r="G15" s="12">
        <v>133</v>
      </c>
      <c r="H15" s="8">
        <v>4.8099999999999996</v>
      </c>
      <c r="I15" s="12">
        <v>1</v>
      </c>
    </row>
    <row r="16" spans="2:9" ht="15" customHeight="1" x14ac:dyDescent="0.15">
      <c r="B16" t="s">
        <v>73</v>
      </c>
      <c r="C16" s="12">
        <v>628</v>
      </c>
      <c r="D16" s="8">
        <v>11.35</v>
      </c>
      <c r="E16" s="12">
        <v>490</v>
      </c>
      <c r="F16" s="8">
        <v>17.760000000000002</v>
      </c>
      <c r="G16" s="12">
        <v>138</v>
      </c>
      <c r="H16" s="8">
        <v>4.99</v>
      </c>
      <c r="I16" s="12">
        <v>0</v>
      </c>
    </row>
    <row r="17" spans="2:9" ht="15" customHeight="1" x14ac:dyDescent="0.15">
      <c r="B17" t="s">
        <v>74</v>
      </c>
      <c r="C17" s="12">
        <v>198</v>
      </c>
      <c r="D17" s="8">
        <v>3.58</v>
      </c>
      <c r="E17" s="12">
        <v>151</v>
      </c>
      <c r="F17" s="8">
        <v>5.47</v>
      </c>
      <c r="G17" s="12">
        <v>45</v>
      </c>
      <c r="H17" s="8">
        <v>1.63</v>
      </c>
      <c r="I17" s="12">
        <v>2</v>
      </c>
    </row>
    <row r="18" spans="2:9" ht="15" customHeight="1" x14ac:dyDescent="0.15">
      <c r="B18" t="s">
        <v>75</v>
      </c>
      <c r="C18" s="12">
        <v>245</v>
      </c>
      <c r="D18" s="8">
        <v>4.43</v>
      </c>
      <c r="E18" s="12">
        <v>167</v>
      </c>
      <c r="F18" s="8">
        <v>6.05</v>
      </c>
      <c r="G18" s="12">
        <v>77</v>
      </c>
      <c r="H18" s="8">
        <v>2.78</v>
      </c>
      <c r="I18" s="12">
        <v>1</v>
      </c>
    </row>
    <row r="19" spans="2:9" ht="15" customHeight="1" x14ac:dyDescent="0.15">
      <c r="B19" t="s">
        <v>76</v>
      </c>
      <c r="C19" s="12">
        <v>167</v>
      </c>
      <c r="D19" s="8">
        <v>3.02</v>
      </c>
      <c r="E19" s="12">
        <v>50</v>
      </c>
      <c r="F19" s="8">
        <v>1.81</v>
      </c>
      <c r="G19" s="12">
        <v>115</v>
      </c>
      <c r="H19" s="8">
        <v>4.16</v>
      </c>
      <c r="I19" s="12">
        <v>2</v>
      </c>
    </row>
    <row r="20" spans="2:9" ht="15" customHeight="1" x14ac:dyDescent="0.15">
      <c r="B20" s="9" t="s">
        <v>216</v>
      </c>
      <c r="C20" s="12">
        <f>SUM(LTBL_14203[総数／事業所数])</f>
        <v>5534</v>
      </c>
      <c r="E20" s="12">
        <f>SUBTOTAL(109,LTBL_14203[個人／事業所数])</f>
        <v>2759</v>
      </c>
      <c r="G20" s="12">
        <f>SUBTOTAL(109,LTBL_14203[法人／事業所数])</f>
        <v>2766</v>
      </c>
      <c r="I20" s="12">
        <f>SUBTOTAL(109,LTBL_14203[法人以外の団体／事業所数])</f>
        <v>9</v>
      </c>
    </row>
    <row r="21" spans="2:9" ht="15" customHeight="1" x14ac:dyDescent="0.15">
      <c r="E21" s="11">
        <f>LTBL_14203[[#Totals],[個人／事業所数]]/LTBL_14203[[#Totals],[総数／事業所数]]</f>
        <v>0.49855439103722443</v>
      </c>
      <c r="G21" s="11">
        <f>LTBL_14203[[#Totals],[法人／事業所数]]/LTBL_14203[[#Totals],[総数／事業所数]]</f>
        <v>0.49981929887965304</v>
      </c>
      <c r="I21" s="11">
        <f>LTBL_14203[[#Totals],[法人以外の団体／事業所数]]/LTBL_14203[[#Totals],[総数／事業所数]]</f>
        <v>1.6263100831225153E-3</v>
      </c>
    </row>
    <row r="23" spans="2:9" ht="33" customHeight="1" x14ac:dyDescent="0.15">
      <c r="B23" t="s">
        <v>215</v>
      </c>
      <c r="C23" s="10" t="s">
        <v>78</v>
      </c>
      <c r="D23" s="10" t="s">
        <v>341</v>
      </c>
      <c r="E23" s="10" t="s">
        <v>80</v>
      </c>
      <c r="F23" s="10" t="s">
        <v>342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17</v>
      </c>
      <c r="D24" t="s">
        <v>217</v>
      </c>
      <c r="E24">
        <v>0</v>
      </c>
      <c r="F24" t="s">
        <v>219</v>
      </c>
      <c r="G24">
        <v>17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1</v>
      </c>
      <c r="D25" t="s">
        <v>217</v>
      </c>
      <c r="E25">
        <v>0</v>
      </c>
      <c r="F25" t="s">
        <v>219</v>
      </c>
      <c r="G25">
        <v>1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684</v>
      </c>
      <c r="D29" s="8">
        <v>12.36</v>
      </c>
      <c r="E29" s="12">
        <v>443</v>
      </c>
      <c r="F29" s="8">
        <v>16.059999999999999</v>
      </c>
      <c r="G29" s="12">
        <v>240</v>
      </c>
      <c r="H29" s="8">
        <v>8.68</v>
      </c>
      <c r="I29" s="12">
        <v>1</v>
      </c>
    </row>
    <row r="30" spans="2:9" ht="15" customHeight="1" x14ac:dyDescent="0.15">
      <c r="B30" t="s">
        <v>99</v>
      </c>
      <c r="C30" s="12">
        <v>677</v>
      </c>
      <c r="D30" s="8">
        <v>12.23</v>
      </c>
      <c r="E30" s="12">
        <v>572</v>
      </c>
      <c r="F30" s="8">
        <v>20.73</v>
      </c>
      <c r="G30" s="12">
        <v>104</v>
      </c>
      <c r="H30" s="8">
        <v>3.76</v>
      </c>
      <c r="I30" s="12">
        <v>1</v>
      </c>
    </row>
    <row r="31" spans="2:9" ht="15" customHeight="1" x14ac:dyDescent="0.15">
      <c r="B31" t="s">
        <v>100</v>
      </c>
      <c r="C31" s="12">
        <v>543</v>
      </c>
      <c r="D31" s="8">
        <v>9.81</v>
      </c>
      <c r="E31" s="12">
        <v>442</v>
      </c>
      <c r="F31" s="8">
        <v>16.02</v>
      </c>
      <c r="G31" s="12">
        <v>101</v>
      </c>
      <c r="H31" s="8">
        <v>3.65</v>
      </c>
      <c r="I31" s="12">
        <v>0</v>
      </c>
    </row>
    <row r="32" spans="2:9" ht="15" customHeight="1" x14ac:dyDescent="0.15">
      <c r="B32" t="s">
        <v>94</v>
      </c>
      <c r="C32" s="12">
        <v>331</v>
      </c>
      <c r="D32" s="8">
        <v>5.98</v>
      </c>
      <c r="E32" s="12">
        <v>144</v>
      </c>
      <c r="F32" s="8">
        <v>5.22</v>
      </c>
      <c r="G32" s="12">
        <v>187</v>
      </c>
      <c r="H32" s="8">
        <v>6.76</v>
      </c>
      <c r="I32" s="12">
        <v>0</v>
      </c>
    </row>
    <row r="33" spans="2:9" ht="15" customHeight="1" x14ac:dyDescent="0.15">
      <c r="B33" t="s">
        <v>85</v>
      </c>
      <c r="C33" s="12">
        <v>316</v>
      </c>
      <c r="D33" s="8">
        <v>5.71</v>
      </c>
      <c r="E33" s="12">
        <v>49</v>
      </c>
      <c r="F33" s="8">
        <v>1.78</v>
      </c>
      <c r="G33" s="12">
        <v>267</v>
      </c>
      <c r="H33" s="8">
        <v>9.65</v>
      </c>
      <c r="I33" s="12">
        <v>0</v>
      </c>
    </row>
    <row r="34" spans="2:9" ht="15" customHeight="1" x14ac:dyDescent="0.15">
      <c r="B34" t="s">
        <v>92</v>
      </c>
      <c r="C34" s="12">
        <v>264</v>
      </c>
      <c r="D34" s="8">
        <v>4.7699999999999996</v>
      </c>
      <c r="E34" s="12">
        <v>157</v>
      </c>
      <c r="F34" s="8">
        <v>5.69</v>
      </c>
      <c r="G34" s="12">
        <v>106</v>
      </c>
      <c r="H34" s="8">
        <v>3.83</v>
      </c>
      <c r="I34" s="12">
        <v>1</v>
      </c>
    </row>
    <row r="35" spans="2:9" ht="15" customHeight="1" x14ac:dyDescent="0.15">
      <c r="B35" t="s">
        <v>86</v>
      </c>
      <c r="C35" s="12">
        <v>263</v>
      </c>
      <c r="D35" s="8">
        <v>4.75</v>
      </c>
      <c r="E35" s="12">
        <v>73</v>
      </c>
      <c r="F35" s="8">
        <v>2.65</v>
      </c>
      <c r="G35" s="12">
        <v>190</v>
      </c>
      <c r="H35" s="8">
        <v>6.87</v>
      </c>
      <c r="I35" s="12">
        <v>0</v>
      </c>
    </row>
    <row r="36" spans="2:9" ht="15" customHeight="1" x14ac:dyDescent="0.15">
      <c r="B36" t="s">
        <v>87</v>
      </c>
      <c r="C36" s="12">
        <v>217</v>
      </c>
      <c r="D36" s="8">
        <v>3.92</v>
      </c>
      <c r="E36" s="12">
        <v>19</v>
      </c>
      <c r="F36" s="8">
        <v>0.69</v>
      </c>
      <c r="G36" s="12">
        <v>198</v>
      </c>
      <c r="H36" s="8">
        <v>7.16</v>
      </c>
      <c r="I36" s="12">
        <v>0</v>
      </c>
    </row>
    <row r="37" spans="2:9" ht="15" customHeight="1" x14ac:dyDescent="0.15">
      <c r="B37" t="s">
        <v>102</v>
      </c>
      <c r="C37" s="12">
        <v>198</v>
      </c>
      <c r="D37" s="8">
        <v>3.58</v>
      </c>
      <c r="E37" s="12">
        <v>151</v>
      </c>
      <c r="F37" s="8">
        <v>5.47</v>
      </c>
      <c r="G37" s="12">
        <v>45</v>
      </c>
      <c r="H37" s="8">
        <v>1.63</v>
      </c>
      <c r="I37" s="12">
        <v>2</v>
      </c>
    </row>
    <row r="38" spans="2:9" ht="15" customHeight="1" x14ac:dyDescent="0.15">
      <c r="B38" t="s">
        <v>93</v>
      </c>
      <c r="C38" s="12">
        <v>191</v>
      </c>
      <c r="D38" s="8">
        <v>3.45</v>
      </c>
      <c r="E38" s="12">
        <v>78</v>
      </c>
      <c r="F38" s="8">
        <v>2.83</v>
      </c>
      <c r="G38" s="12">
        <v>113</v>
      </c>
      <c r="H38" s="8">
        <v>4.09</v>
      </c>
      <c r="I38" s="12">
        <v>0</v>
      </c>
    </row>
    <row r="39" spans="2:9" ht="15" customHeight="1" x14ac:dyDescent="0.15">
      <c r="B39" t="s">
        <v>103</v>
      </c>
      <c r="C39" s="12">
        <v>184</v>
      </c>
      <c r="D39" s="8">
        <v>3.32</v>
      </c>
      <c r="E39" s="12">
        <v>164</v>
      </c>
      <c r="F39" s="8">
        <v>5.94</v>
      </c>
      <c r="G39" s="12">
        <v>20</v>
      </c>
      <c r="H39" s="8">
        <v>0.72</v>
      </c>
      <c r="I39" s="12">
        <v>0</v>
      </c>
    </row>
    <row r="40" spans="2:9" ht="15" customHeight="1" x14ac:dyDescent="0.15">
      <c r="B40" t="s">
        <v>91</v>
      </c>
      <c r="C40" s="12">
        <v>159</v>
      </c>
      <c r="D40" s="8">
        <v>2.87</v>
      </c>
      <c r="E40" s="12">
        <v>67</v>
      </c>
      <c r="F40" s="8">
        <v>2.4300000000000002</v>
      </c>
      <c r="G40" s="12">
        <v>92</v>
      </c>
      <c r="H40" s="8">
        <v>3.33</v>
      </c>
      <c r="I40" s="12">
        <v>0</v>
      </c>
    </row>
    <row r="41" spans="2:9" ht="15" customHeight="1" x14ac:dyDescent="0.15">
      <c r="B41" t="s">
        <v>97</v>
      </c>
      <c r="C41" s="12">
        <v>117</v>
      </c>
      <c r="D41" s="8">
        <v>2.11</v>
      </c>
      <c r="E41" s="12">
        <v>77</v>
      </c>
      <c r="F41" s="8">
        <v>2.79</v>
      </c>
      <c r="G41" s="12">
        <v>40</v>
      </c>
      <c r="H41" s="8">
        <v>1.45</v>
      </c>
      <c r="I41" s="12">
        <v>0</v>
      </c>
    </row>
    <row r="42" spans="2:9" ht="15" customHeight="1" x14ac:dyDescent="0.15">
      <c r="B42" t="s">
        <v>95</v>
      </c>
      <c r="C42" s="12">
        <v>102</v>
      </c>
      <c r="D42" s="8">
        <v>1.84</v>
      </c>
      <c r="E42" s="12">
        <v>18</v>
      </c>
      <c r="F42" s="8">
        <v>0.65</v>
      </c>
      <c r="G42" s="12">
        <v>84</v>
      </c>
      <c r="H42" s="8">
        <v>3.04</v>
      </c>
      <c r="I42" s="12">
        <v>0</v>
      </c>
    </row>
    <row r="43" spans="2:9" ht="15" customHeight="1" x14ac:dyDescent="0.15">
      <c r="B43" t="s">
        <v>98</v>
      </c>
      <c r="C43" s="12">
        <v>98</v>
      </c>
      <c r="D43" s="8">
        <v>1.77</v>
      </c>
      <c r="E43" s="12">
        <v>31</v>
      </c>
      <c r="F43" s="8">
        <v>1.1200000000000001</v>
      </c>
      <c r="G43" s="12">
        <v>67</v>
      </c>
      <c r="H43" s="8">
        <v>2.42</v>
      </c>
      <c r="I43" s="12">
        <v>0</v>
      </c>
    </row>
    <row r="44" spans="2:9" ht="15" customHeight="1" x14ac:dyDescent="0.15">
      <c r="B44" t="s">
        <v>106</v>
      </c>
      <c r="C44" s="12">
        <v>77</v>
      </c>
      <c r="D44" s="8">
        <v>1.39</v>
      </c>
      <c r="E44" s="12">
        <v>13</v>
      </c>
      <c r="F44" s="8">
        <v>0.47</v>
      </c>
      <c r="G44" s="12">
        <v>64</v>
      </c>
      <c r="H44" s="8">
        <v>2.31</v>
      </c>
      <c r="I44" s="12">
        <v>0</v>
      </c>
    </row>
    <row r="45" spans="2:9" ht="15" customHeight="1" x14ac:dyDescent="0.15">
      <c r="B45" t="s">
        <v>89</v>
      </c>
      <c r="C45" s="12">
        <v>74</v>
      </c>
      <c r="D45" s="8">
        <v>1.34</v>
      </c>
      <c r="E45" s="12">
        <v>10</v>
      </c>
      <c r="F45" s="8">
        <v>0.36</v>
      </c>
      <c r="G45" s="12">
        <v>64</v>
      </c>
      <c r="H45" s="8">
        <v>2.31</v>
      </c>
      <c r="I45" s="12">
        <v>0</v>
      </c>
    </row>
    <row r="46" spans="2:9" ht="15" customHeight="1" x14ac:dyDescent="0.15">
      <c r="B46" t="s">
        <v>117</v>
      </c>
      <c r="C46" s="12">
        <v>74</v>
      </c>
      <c r="D46" s="8">
        <v>1.34</v>
      </c>
      <c r="E46" s="12">
        <v>35</v>
      </c>
      <c r="F46" s="8">
        <v>1.27</v>
      </c>
      <c r="G46" s="12">
        <v>39</v>
      </c>
      <c r="H46" s="8">
        <v>1.41</v>
      </c>
      <c r="I46" s="12">
        <v>0</v>
      </c>
    </row>
    <row r="47" spans="2:9" ht="15" customHeight="1" x14ac:dyDescent="0.15">
      <c r="B47" t="s">
        <v>90</v>
      </c>
      <c r="C47" s="12">
        <v>67</v>
      </c>
      <c r="D47" s="8">
        <v>1.21</v>
      </c>
      <c r="E47" s="12">
        <v>7</v>
      </c>
      <c r="F47" s="8">
        <v>0.25</v>
      </c>
      <c r="G47" s="12">
        <v>60</v>
      </c>
      <c r="H47" s="8">
        <v>2.17</v>
      </c>
      <c r="I47" s="12">
        <v>0</v>
      </c>
    </row>
    <row r="48" spans="2:9" ht="15" customHeight="1" x14ac:dyDescent="0.15">
      <c r="B48" t="s">
        <v>105</v>
      </c>
      <c r="C48" s="12">
        <v>66</v>
      </c>
      <c r="D48" s="8">
        <v>1.19</v>
      </c>
      <c r="E48" s="12">
        <v>11</v>
      </c>
      <c r="F48" s="8">
        <v>0.4</v>
      </c>
      <c r="G48" s="12">
        <v>55</v>
      </c>
      <c r="H48" s="8">
        <v>1.99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452</v>
      </c>
      <c r="D52" s="8">
        <v>8.17</v>
      </c>
      <c r="E52" s="12">
        <v>372</v>
      </c>
      <c r="F52" s="8">
        <v>13.48</v>
      </c>
      <c r="G52" s="12">
        <v>79</v>
      </c>
      <c r="H52" s="8">
        <v>2.86</v>
      </c>
      <c r="I52" s="12">
        <v>1</v>
      </c>
    </row>
    <row r="53" spans="2:9" ht="15" customHeight="1" x14ac:dyDescent="0.15">
      <c r="B53" t="s">
        <v>155</v>
      </c>
      <c r="C53" s="12">
        <v>243</v>
      </c>
      <c r="D53" s="8">
        <v>4.3899999999999997</v>
      </c>
      <c r="E53" s="12">
        <v>205</v>
      </c>
      <c r="F53" s="8">
        <v>7.43</v>
      </c>
      <c r="G53" s="12">
        <v>38</v>
      </c>
      <c r="H53" s="8">
        <v>1.37</v>
      </c>
      <c r="I53" s="12">
        <v>0</v>
      </c>
    </row>
    <row r="54" spans="2:9" ht="15" customHeight="1" x14ac:dyDescent="0.15">
      <c r="B54" t="s">
        <v>151</v>
      </c>
      <c r="C54" s="12">
        <v>196</v>
      </c>
      <c r="D54" s="8">
        <v>3.54</v>
      </c>
      <c r="E54" s="12">
        <v>176</v>
      </c>
      <c r="F54" s="8">
        <v>6.38</v>
      </c>
      <c r="G54" s="12">
        <v>19</v>
      </c>
      <c r="H54" s="8">
        <v>0.69</v>
      </c>
      <c r="I54" s="12">
        <v>1</v>
      </c>
    </row>
    <row r="55" spans="2:9" ht="15" customHeight="1" x14ac:dyDescent="0.15">
      <c r="B55" t="s">
        <v>152</v>
      </c>
      <c r="C55" s="12">
        <v>180</v>
      </c>
      <c r="D55" s="8">
        <v>3.25</v>
      </c>
      <c r="E55" s="12">
        <v>172</v>
      </c>
      <c r="F55" s="8">
        <v>6.23</v>
      </c>
      <c r="G55" s="12">
        <v>8</v>
      </c>
      <c r="H55" s="8">
        <v>0.28999999999999998</v>
      </c>
      <c r="I55" s="12">
        <v>0</v>
      </c>
    </row>
    <row r="56" spans="2:9" ht="15" customHeight="1" x14ac:dyDescent="0.15">
      <c r="B56" t="s">
        <v>150</v>
      </c>
      <c r="C56" s="12">
        <v>161</v>
      </c>
      <c r="D56" s="8">
        <v>2.91</v>
      </c>
      <c r="E56" s="12">
        <v>124</v>
      </c>
      <c r="F56" s="8">
        <v>4.49</v>
      </c>
      <c r="G56" s="12">
        <v>37</v>
      </c>
      <c r="H56" s="8">
        <v>1.34</v>
      </c>
      <c r="I56" s="12">
        <v>0</v>
      </c>
    </row>
    <row r="57" spans="2:9" ht="15" customHeight="1" x14ac:dyDescent="0.15">
      <c r="B57" t="s">
        <v>154</v>
      </c>
      <c r="C57" s="12">
        <v>160</v>
      </c>
      <c r="D57" s="8">
        <v>2.89</v>
      </c>
      <c r="E57" s="12">
        <v>145</v>
      </c>
      <c r="F57" s="8">
        <v>5.26</v>
      </c>
      <c r="G57" s="12">
        <v>15</v>
      </c>
      <c r="H57" s="8">
        <v>0.54</v>
      </c>
      <c r="I57" s="12">
        <v>0</v>
      </c>
    </row>
    <row r="58" spans="2:9" ht="15" customHeight="1" x14ac:dyDescent="0.15">
      <c r="B58" t="s">
        <v>156</v>
      </c>
      <c r="C58" s="12">
        <v>135</v>
      </c>
      <c r="D58" s="8">
        <v>2.44</v>
      </c>
      <c r="E58" s="12">
        <v>112</v>
      </c>
      <c r="F58" s="8">
        <v>4.0599999999999996</v>
      </c>
      <c r="G58" s="12">
        <v>22</v>
      </c>
      <c r="H58" s="8">
        <v>0.8</v>
      </c>
      <c r="I58" s="12">
        <v>1</v>
      </c>
    </row>
    <row r="59" spans="2:9" ht="15" customHeight="1" x14ac:dyDescent="0.15">
      <c r="B59" t="s">
        <v>157</v>
      </c>
      <c r="C59" s="12">
        <v>129</v>
      </c>
      <c r="D59" s="8">
        <v>2.33</v>
      </c>
      <c r="E59" s="12">
        <v>114</v>
      </c>
      <c r="F59" s="8">
        <v>4.13</v>
      </c>
      <c r="G59" s="12">
        <v>15</v>
      </c>
      <c r="H59" s="8">
        <v>0.54</v>
      </c>
      <c r="I59" s="12">
        <v>0</v>
      </c>
    </row>
    <row r="60" spans="2:9" ht="15" customHeight="1" x14ac:dyDescent="0.15">
      <c r="B60" t="s">
        <v>145</v>
      </c>
      <c r="C60" s="12">
        <v>119</v>
      </c>
      <c r="D60" s="8">
        <v>2.15</v>
      </c>
      <c r="E60" s="12">
        <v>66</v>
      </c>
      <c r="F60" s="8">
        <v>2.39</v>
      </c>
      <c r="G60" s="12">
        <v>53</v>
      </c>
      <c r="H60" s="8">
        <v>1.92</v>
      </c>
      <c r="I60" s="12">
        <v>0</v>
      </c>
    </row>
    <row r="61" spans="2:9" ht="15" customHeight="1" x14ac:dyDescent="0.15">
      <c r="B61" t="s">
        <v>153</v>
      </c>
      <c r="C61" s="12">
        <v>111</v>
      </c>
      <c r="D61" s="8">
        <v>2.0099999999999998</v>
      </c>
      <c r="E61" s="12">
        <v>73</v>
      </c>
      <c r="F61" s="8">
        <v>2.65</v>
      </c>
      <c r="G61" s="12">
        <v>38</v>
      </c>
      <c r="H61" s="8">
        <v>1.37</v>
      </c>
      <c r="I61" s="12">
        <v>0</v>
      </c>
    </row>
    <row r="62" spans="2:9" ht="15" customHeight="1" x14ac:dyDescent="0.15">
      <c r="B62" t="s">
        <v>141</v>
      </c>
      <c r="C62" s="12">
        <v>100</v>
      </c>
      <c r="D62" s="8">
        <v>1.81</v>
      </c>
      <c r="E62" s="12">
        <v>10</v>
      </c>
      <c r="F62" s="8">
        <v>0.36</v>
      </c>
      <c r="G62" s="12">
        <v>90</v>
      </c>
      <c r="H62" s="8">
        <v>3.25</v>
      </c>
      <c r="I62" s="12">
        <v>0</v>
      </c>
    </row>
    <row r="63" spans="2:9" ht="15" customHeight="1" x14ac:dyDescent="0.15">
      <c r="B63" t="s">
        <v>144</v>
      </c>
      <c r="C63" s="12">
        <v>100</v>
      </c>
      <c r="D63" s="8">
        <v>1.81</v>
      </c>
      <c r="E63" s="12">
        <v>35</v>
      </c>
      <c r="F63" s="8">
        <v>1.27</v>
      </c>
      <c r="G63" s="12">
        <v>65</v>
      </c>
      <c r="H63" s="8">
        <v>2.35</v>
      </c>
      <c r="I63" s="12">
        <v>0</v>
      </c>
    </row>
    <row r="64" spans="2:9" ht="15" customHeight="1" x14ac:dyDescent="0.15">
      <c r="B64" t="s">
        <v>147</v>
      </c>
      <c r="C64" s="12">
        <v>96</v>
      </c>
      <c r="D64" s="8">
        <v>1.73</v>
      </c>
      <c r="E64" s="12">
        <v>21</v>
      </c>
      <c r="F64" s="8">
        <v>0.76</v>
      </c>
      <c r="G64" s="12">
        <v>75</v>
      </c>
      <c r="H64" s="8">
        <v>2.71</v>
      </c>
      <c r="I64" s="12">
        <v>0</v>
      </c>
    </row>
    <row r="65" spans="2:9" ht="15" customHeight="1" x14ac:dyDescent="0.15">
      <c r="B65" t="s">
        <v>139</v>
      </c>
      <c r="C65" s="12">
        <v>87</v>
      </c>
      <c r="D65" s="8">
        <v>1.57</v>
      </c>
      <c r="E65" s="12">
        <v>7</v>
      </c>
      <c r="F65" s="8">
        <v>0.25</v>
      </c>
      <c r="G65" s="12">
        <v>80</v>
      </c>
      <c r="H65" s="8">
        <v>2.89</v>
      </c>
      <c r="I65" s="12">
        <v>0</v>
      </c>
    </row>
    <row r="66" spans="2:9" ht="15" customHeight="1" x14ac:dyDescent="0.15">
      <c r="B66" t="s">
        <v>143</v>
      </c>
      <c r="C66" s="12">
        <v>86</v>
      </c>
      <c r="D66" s="8">
        <v>1.55</v>
      </c>
      <c r="E66" s="12">
        <v>47</v>
      </c>
      <c r="F66" s="8">
        <v>1.7</v>
      </c>
      <c r="G66" s="12">
        <v>39</v>
      </c>
      <c r="H66" s="8">
        <v>1.41</v>
      </c>
      <c r="I66" s="12">
        <v>0</v>
      </c>
    </row>
    <row r="67" spans="2:9" ht="15" customHeight="1" x14ac:dyDescent="0.15">
      <c r="B67" t="s">
        <v>140</v>
      </c>
      <c r="C67" s="12">
        <v>85</v>
      </c>
      <c r="D67" s="8">
        <v>1.54</v>
      </c>
      <c r="E67" s="12">
        <v>9</v>
      </c>
      <c r="F67" s="8">
        <v>0.33</v>
      </c>
      <c r="G67" s="12">
        <v>76</v>
      </c>
      <c r="H67" s="8">
        <v>2.75</v>
      </c>
      <c r="I67" s="12">
        <v>0</v>
      </c>
    </row>
    <row r="68" spans="2:9" ht="15" customHeight="1" x14ac:dyDescent="0.15">
      <c r="B68" t="s">
        <v>174</v>
      </c>
      <c r="C68" s="12">
        <v>83</v>
      </c>
      <c r="D68" s="8">
        <v>1.5</v>
      </c>
      <c r="E68" s="12">
        <v>20</v>
      </c>
      <c r="F68" s="8">
        <v>0.72</v>
      </c>
      <c r="G68" s="12">
        <v>63</v>
      </c>
      <c r="H68" s="8">
        <v>2.2799999999999998</v>
      </c>
      <c r="I68" s="12">
        <v>0</v>
      </c>
    </row>
    <row r="69" spans="2:9" ht="15" customHeight="1" x14ac:dyDescent="0.15">
      <c r="B69" t="s">
        <v>149</v>
      </c>
      <c r="C69" s="12">
        <v>83</v>
      </c>
      <c r="D69" s="8">
        <v>1.5</v>
      </c>
      <c r="E69" s="12">
        <v>4</v>
      </c>
      <c r="F69" s="8">
        <v>0.14000000000000001</v>
      </c>
      <c r="G69" s="12">
        <v>79</v>
      </c>
      <c r="H69" s="8">
        <v>2.86</v>
      </c>
      <c r="I69" s="12">
        <v>0</v>
      </c>
    </row>
    <row r="70" spans="2:9" ht="15" customHeight="1" x14ac:dyDescent="0.15">
      <c r="B70" t="s">
        <v>138</v>
      </c>
      <c r="C70" s="12">
        <v>81</v>
      </c>
      <c r="D70" s="8">
        <v>1.46</v>
      </c>
      <c r="E70" s="12">
        <v>10</v>
      </c>
      <c r="F70" s="8">
        <v>0.36</v>
      </c>
      <c r="G70" s="12">
        <v>71</v>
      </c>
      <c r="H70" s="8">
        <v>2.57</v>
      </c>
      <c r="I70" s="12">
        <v>0</v>
      </c>
    </row>
    <row r="71" spans="2:9" ht="15" customHeight="1" x14ac:dyDescent="0.15">
      <c r="B71" t="s">
        <v>146</v>
      </c>
      <c r="C71" s="12">
        <v>74</v>
      </c>
      <c r="D71" s="8">
        <v>1.34</v>
      </c>
      <c r="E71" s="12">
        <v>18</v>
      </c>
      <c r="F71" s="8">
        <v>0.65</v>
      </c>
      <c r="G71" s="12">
        <v>56</v>
      </c>
      <c r="H71" s="8">
        <v>2.02</v>
      </c>
      <c r="I71" s="12">
        <v>0</v>
      </c>
    </row>
    <row r="72" spans="2:9" ht="15" customHeight="1" x14ac:dyDescent="0.15">
      <c r="B72" t="s">
        <v>181</v>
      </c>
      <c r="C72" s="12">
        <v>74</v>
      </c>
      <c r="D72" s="8">
        <v>1.34</v>
      </c>
      <c r="E72" s="12">
        <v>35</v>
      </c>
      <c r="F72" s="8">
        <v>1.27</v>
      </c>
      <c r="G72" s="12">
        <v>39</v>
      </c>
      <c r="H72" s="8">
        <v>1.41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376</v>
      </c>
      <c r="D6" s="8">
        <v>8.69</v>
      </c>
      <c r="E6" s="12">
        <v>98</v>
      </c>
      <c r="F6" s="8">
        <v>4.34</v>
      </c>
      <c r="G6" s="12">
        <v>277</v>
      </c>
      <c r="H6" s="8">
        <v>13.43</v>
      </c>
      <c r="I6" s="12">
        <v>1</v>
      </c>
    </row>
    <row r="7" spans="2:9" ht="15" customHeight="1" x14ac:dyDescent="0.15">
      <c r="B7" t="s">
        <v>64</v>
      </c>
      <c r="C7" s="12">
        <v>130</v>
      </c>
      <c r="D7" s="8">
        <v>3.01</v>
      </c>
      <c r="E7" s="12">
        <v>36</v>
      </c>
      <c r="F7" s="8">
        <v>1.59</v>
      </c>
      <c r="G7" s="12">
        <v>94</v>
      </c>
      <c r="H7" s="8">
        <v>4.5599999999999996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80</v>
      </c>
      <c r="D9" s="8">
        <v>1.85</v>
      </c>
      <c r="E9" s="12">
        <v>2</v>
      </c>
      <c r="F9" s="8">
        <v>0.09</v>
      </c>
      <c r="G9" s="12">
        <v>77</v>
      </c>
      <c r="H9" s="8">
        <v>3.73</v>
      </c>
      <c r="I9" s="12">
        <v>1</v>
      </c>
    </row>
    <row r="10" spans="2:9" ht="15" customHeight="1" x14ac:dyDescent="0.15">
      <c r="B10" t="s">
        <v>67</v>
      </c>
      <c r="C10" s="12">
        <v>25</v>
      </c>
      <c r="D10" s="8">
        <v>0.57999999999999996</v>
      </c>
      <c r="E10" s="12">
        <v>1</v>
      </c>
      <c r="F10" s="8">
        <v>0.04</v>
      </c>
      <c r="G10" s="12">
        <v>24</v>
      </c>
      <c r="H10" s="8">
        <v>1.1599999999999999</v>
      </c>
      <c r="I10" s="12">
        <v>0</v>
      </c>
    </row>
    <row r="11" spans="2:9" ht="15" customHeight="1" x14ac:dyDescent="0.15">
      <c r="B11" t="s">
        <v>68</v>
      </c>
      <c r="C11" s="12">
        <v>1233</v>
      </c>
      <c r="D11" s="8">
        <v>28.51</v>
      </c>
      <c r="E11" s="12">
        <v>569</v>
      </c>
      <c r="F11" s="8">
        <v>25.19</v>
      </c>
      <c r="G11" s="12">
        <v>664</v>
      </c>
      <c r="H11" s="8">
        <v>32.200000000000003</v>
      </c>
      <c r="I11" s="12">
        <v>0</v>
      </c>
    </row>
    <row r="12" spans="2:9" ht="15" customHeight="1" x14ac:dyDescent="0.15">
      <c r="B12" t="s">
        <v>69</v>
      </c>
      <c r="C12" s="12">
        <v>21</v>
      </c>
      <c r="D12" s="8">
        <v>0.49</v>
      </c>
      <c r="E12" s="12">
        <v>3</v>
      </c>
      <c r="F12" s="8">
        <v>0.13</v>
      </c>
      <c r="G12" s="12">
        <v>18</v>
      </c>
      <c r="H12" s="8">
        <v>0.87</v>
      </c>
      <c r="I12" s="12">
        <v>0</v>
      </c>
    </row>
    <row r="13" spans="2:9" ht="15" customHeight="1" x14ac:dyDescent="0.15">
      <c r="B13" t="s">
        <v>70</v>
      </c>
      <c r="C13" s="12">
        <v>618</v>
      </c>
      <c r="D13" s="8">
        <v>14.29</v>
      </c>
      <c r="E13" s="12">
        <v>316</v>
      </c>
      <c r="F13" s="8">
        <v>13.99</v>
      </c>
      <c r="G13" s="12">
        <v>302</v>
      </c>
      <c r="H13" s="8">
        <v>14.65</v>
      </c>
      <c r="I13" s="12">
        <v>0</v>
      </c>
    </row>
    <row r="14" spans="2:9" ht="15" customHeight="1" x14ac:dyDescent="0.15">
      <c r="B14" t="s">
        <v>71</v>
      </c>
      <c r="C14" s="12">
        <v>277</v>
      </c>
      <c r="D14" s="8">
        <v>6.4</v>
      </c>
      <c r="E14" s="12">
        <v>107</v>
      </c>
      <c r="F14" s="8">
        <v>4.74</v>
      </c>
      <c r="G14" s="12">
        <v>168</v>
      </c>
      <c r="H14" s="8">
        <v>8.15</v>
      </c>
      <c r="I14" s="12">
        <v>2</v>
      </c>
    </row>
    <row r="15" spans="2:9" ht="15" customHeight="1" x14ac:dyDescent="0.15">
      <c r="B15" t="s">
        <v>72</v>
      </c>
      <c r="C15" s="12">
        <v>678</v>
      </c>
      <c r="D15" s="8">
        <v>15.68</v>
      </c>
      <c r="E15" s="12">
        <v>526</v>
      </c>
      <c r="F15" s="8">
        <v>23.28</v>
      </c>
      <c r="G15" s="12">
        <v>152</v>
      </c>
      <c r="H15" s="8">
        <v>7.37</v>
      </c>
      <c r="I15" s="12">
        <v>0</v>
      </c>
    </row>
    <row r="16" spans="2:9" ht="15" customHeight="1" x14ac:dyDescent="0.15">
      <c r="B16" t="s">
        <v>73</v>
      </c>
      <c r="C16" s="12">
        <v>396</v>
      </c>
      <c r="D16" s="8">
        <v>9.16</v>
      </c>
      <c r="E16" s="12">
        <v>272</v>
      </c>
      <c r="F16" s="8">
        <v>12.04</v>
      </c>
      <c r="G16" s="12">
        <v>124</v>
      </c>
      <c r="H16" s="8">
        <v>6.01</v>
      </c>
      <c r="I16" s="12">
        <v>0</v>
      </c>
    </row>
    <row r="17" spans="2:9" ht="15" customHeight="1" x14ac:dyDescent="0.15">
      <c r="B17" t="s">
        <v>74</v>
      </c>
      <c r="C17" s="12">
        <v>198</v>
      </c>
      <c r="D17" s="8">
        <v>4.58</v>
      </c>
      <c r="E17" s="12">
        <v>144</v>
      </c>
      <c r="F17" s="8">
        <v>6.37</v>
      </c>
      <c r="G17" s="12">
        <v>54</v>
      </c>
      <c r="H17" s="8">
        <v>2.62</v>
      </c>
      <c r="I17" s="12">
        <v>0</v>
      </c>
    </row>
    <row r="18" spans="2:9" ht="15" customHeight="1" x14ac:dyDescent="0.15">
      <c r="B18" t="s">
        <v>75</v>
      </c>
      <c r="C18" s="12">
        <v>185</v>
      </c>
      <c r="D18" s="8">
        <v>4.28</v>
      </c>
      <c r="E18" s="12">
        <v>144</v>
      </c>
      <c r="F18" s="8">
        <v>6.37</v>
      </c>
      <c r="G18" s="12">
        <v>41</v>
      </c>
      <c r="H18" s="8">
        <v>1.99</v>
      </c>
      <c r="I18" s="12">
        <v>0</v>
      </c>
    </row>
    <row r="19" spans="2:9" ht="15" customHeight="1" x14ac:dyDescent="0.15">
      <c r="B19" t="s">
        <v>76</v>
      </c>
      <c r="C19" s="12">
        <v>108</v>
      </c>
      <c r="D19" s="8">
        <v>2.5</v>
      </c>
      <c r="E19" s="12">
        <v>41</v>
      </c>
      <c r="F19" s="8">
        <v>1.81</v>
      </c>
      <c r="G19" s="12">
        <v>67</v>
      </c>
      <c r="H19" s="8">
        <v>3.25</v>
      </c>
      <c r="I19" s="12">
        <v>0</v>
      </c>
    </row>
    <row r="20" spans="2:9" ht="15" customHeight="1" x14ac:dyDescent="0.15">
      <c r="B20" s="9" t="s">
        <v>216</v>
      </c>
      <c r="C20" s="12">
        <f>SUM(LTBL_14204[総数／事業所数])</f>
        <v>4325</v>
      </c>
      <c r="E20" s="12">
        <f>SUBTOTAL(109,LTBL_14204[個人／事業所数])</f>
        <v>2259</v>
      </c>
      <c r="G20" s="12">
        <f>SUBTOTAL(109,LTBL_14204[法人／事業所数])</f>
        <v>2062</v>
      </c>
      <c r="I20" s="12">
        <f>SUBTOTAL(109,LTBL_14204[法人以外の団体／事業所数])</f>
        <v>4</v>
      </c>
    </row>
    <row r="21" spans="2:9" ht="15" customHeight="1" x14ac:dyDescent="0.15">
      <c r="E21" s="11">
        <f>LTBL_14204[[#Totals],[個人／事業所数]]/LTBL_14204[[#Totals],[総数／事業所数]]</f>
        <v>0.52231213872832372</v>
      </c>
      <c r="G21" s="11">
        <f>LTBL_14204[[#Totals],[法人／事業所数]]/LTBL_14204[[#Totals],[総数／事業所数]]</f>
        <v>0.4767630057803468</v>
      </c>
      <c r="I21" s="11">
        <f>LTBL_14204[[#Totals],[法人以外の団体／事業所数]]/LTBL_14204[[#Totals],[総数／事業所数]]</f>
        <v>9.2485549132947974E-4</v>
      </c>
    </row>
    <row r="23" spans="2:9" ht="33" customHeight="1" x14ac:dyDescent="0.15">
      <c r="B23" t="s">
        <v>215</v>
      </c>
      <c r="C23" s="10" t="s">
        <v>78</v>
      </c>
      <c r="D23" s="10" t="s">
        <v>344</v>
      </c>
      <c r="E23" s="10" t="s">
        <v>80</v>
      </c>
      <c r="F23" s="10" t="s">
        <v>345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2</v>
      </c>
      <c r="D25" t="s">
        <v>217</v>
      </c>
      <c r="E25">
        <v>0</v>
      </c>
      <c r="F25" t="s">
        <v>219</v>
      </c>
      <c r="G25">
        <v>2</v>
      </c>
      <c r="H25" t="s">
        <v>220</v>
      </c>
      <c r="I25">
        <v>0</v>
      </c>
    </row>
    <row r="28" spans="2:9" ht="33" customHeight="1" x14ac:dyDescent="0.15">
      <c r="B28" t="s">
        <v>346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633</v>
      </c>
      <c r="D29" s="8">
        <v>14.64</v>
      </c>
      <c r="E29" s="12">
        <v>513</v>
      </c>
      <c r="F29" s="8">
        <v>22.71</v>
      </c>
      <c r="G29" s="12">
        <v>120</v>
      </c>
      <c r="H29" s="8">
        <v>5.82</v>
      </c>
      <c r="I29" s="12">
        <v>0</v>
      </c>
    </row>
    <row r="30" spans="2:9" ht="15" customHeight="1" x14ac:dyDescent="0.15">
      <c r="B30" t="s">
        <v>96</v>
      </c>
      <c r="C30" s="12">
        <v>538</v>
      </c>
      <c r="D30" s="8">
        <v>12.44</v>
      </c>
      <c r="E30" s="12">
        <v>308</v>
      </c>
      <c r="F30" s="8">
        <v>13.63</v>
      </c>
      <c r="G30" s="12">
        <v>230</v>
      </c>
      <c r="H30" s="8">
        <v>11.15</v>
      </c>
      <c r="I30" s="12">
        <v>0</v>
      </c>
    </row>
    <row r="31" spans="2:9" ht="15" customHeight="1" x14ac:dyDescent="0.15">
      <c r="B31" t="s">
        <v>94</v>
      </c>
      <c r="C31" s="12">
        <v>400</v>
      </c>
      <c r="D31" s="8">
        <v>9.25</v>
      </c>
      <c r="E31" s="12">
        <v>208</v>
      </c>
      <c r="F31" s="8">
        <v>9.2100000000000009</v>
      </c>
      <c r="G31" s="12">
        <v>192</v>
      </c>
      <c r="H31" s="8">
        <v>9.31</v>
      </c>
      <c r="I31" s="12">
        <v>0</v>
      </c>
    </row>
    <row r="32" spans="2:9" ht="15" customHeight="1" x14ac:dyDescent="0.15">
      <c r="B32" t="s">
        <v>100</v>
      </c>
      <c r="C32" s="12">
        <v>325</v>
      </c>
      <c r="D32" s="8">
        <v>7.51</v>
      </c>
      <c r="E32" s="12">
        <v>242</v>
      </c>
      <c r="F32" s="8">
        <v>10.71</v>
      </c>
      <c r="G32" s="12">
        <v>83</v>
      </c>
      <c r="H32" s="8">
        <v>4.03</v>
      </c>
      <c r="I32" s="12">
        <v>0</v>
      </c>
    </row>
    <row r="33" spans="2:9" ht="15" customHeight="1" x14ac:dyDescent="0.15">
      <c r="B33" t="s">
        <v>92</v>
      </c>
      <c r="C33" s="12">
        <v>305</v>
      </c>
      <c r="D33" s="8">
        <v>7.05</v>
      </c>
      <c r="E33" s="12">
        <v>166</v>
      </c>
      <c r="F33" s="8">
        <v>7.35</v>
      </c>
      <c r="G33" s="12">
        <v>139</v>
      </c>
      <c r="H33" s="8">
        <v>6.74</v>
      </c>
      <c r="I33" s="12">
        <v>0</v>
      </c>
    </row>
    <row r="34" spans="2:9" ht="15" customHeight="1" x14ac:dyDescent="0.15">
      <c r="B34" t="s">
        <v>91</v>
      </c>
      <c r="C34" s="12">
        <v>293</v>
      </c>
      <c r="D34" s="8">
        <v>6.77</v>
      </c>
      <c r="E34" s="12">
        <v>145</v>
      </c>
      <c r="F34" s="8">
        <v>6.42</v>
      </c>
      <c r="G34" s="12">
        <v>148</v>
      </c>
      <c r="H34" s="8">
        <v>7.18</v>
      </c>
      <c r="I34" s="12">
        <v>0</v>
      </c>
    </row>
    <row r="35" spans="2:9" ht="15" customHeight="1" x14ac:dyDescent="0.15">
      <c r="B35" t="s">
        <v>102</v>
      </c>
      <c r="C35" s="12">
        <v>198</v>
      </c>
      <c r="D35" s="8">
        <v>4.58</v>
      </c>
      <c r="E35" s="12">
        <v>144</v>
      </c>
      <c r="F35" s="8">
        <v>6.37</v>
      </c>
      <c r="G35" s="12">
        <v>54</v>
      </c>
      <c r="H35" s="8">
        <v>2.62</v>
      </c>
      <c r="I35" s="12">
        <v>0</v>
      </c>
    </row>
    <row r="36" spans="2:9" ht="15" customHeight="1" x14ac:dyDescent="0.15">
      <c r="B36" t="s">
        <v>97</v>
      </c>
      <c r="C36" s="12">
        <v>188</v>
      </c>
      <c r="D36" s="8">
        <v>4.3499999999999996</v>
      </c>
      <c r="E36" s="12">
        <v>72</v>
      </c>
      <c r="F36" s="8">
        <v>3.19</v>
      </c>
      <c r="G36" s="12">
        <v>114</v>
      </c>
      <c r="H36" s="8">
        <v>5.53</v>
      </c>
      <c r="I36" s="12">
        <v>2</v>
      </c>
    </row>
    <row r="37" spans="2:9" ht="15" customHeight="1" x14ac:dyDescent="0.15">
      <c r="B37" t="s">
        <v>103</v>
      </c>
      <c r="C37" s="12">
        <v>166</v>
      </c>
      <c r="D37" s="8">
        <v>3.84</v>
      </c>
      <c r="E37" s="12">
        <v>144</v>
      </c>
      <c r="F37" s="8">
        <v>6.37</v>
      </c>
      <c r="G37" s="12">
        <v>22</v>
      </c>
      <c r="H37" s="8">
        <v>1.07</v>
      </c>
      <c r="I37" s="12">
        <v>0</v>
      </c>
    </row>
    <row r="38" spans="2:9" ht="15" customHeight="1" x14ac:dyDescent="0.15">
      <c r="B38" t="s">
        <v>85</v>
      </c>
      <c r="C38" s="12">
        <v>163</v>
      </c>
      <c r="D38" s="8">
        <v>3.77</v>
      </c>
      <c r="E38" s="12">
        <v>32</v>
      </c>
      <c r="F38" s="8">
        <v>1.42</v>
      </c>
      <c r="G38" s="12">
        <v>131</v>
      </c>
      <c r="H38" s="8">
        <v>6.35</v>
      </c>
      <c r="I38" s="12">
        <v>0</v>
      </c>
    </row>
    <row r="39" spans="2:9" ht="15" customHeight="1" x14ac:dyDescent="0.15">
      <c r="B39" t="s">
        <v>86</v>
      </c>
      <c r="C39" s="12">
        <v>127</v>
      </c>
      <c r="D39" s="8">
        <v>2.94</v>
      </c>
      <c r="E39" s="12">
        <v>48</v>
      </c>
      <c r="F39" s="8">
        <v>2.12</v>
      </c>
      <c r="G39" s="12">
        <v>79</v>
      </c>
      <c r="H39" s="8">
        <v>3.83</v>
      </c>
      <c r="I39" s="12">
        <v>0</v>
      </c>
    </row>
    <row r="40" spans="2:9" ht="15" customHeight="1" x14ac:dyDescent="0.15">
      <c r="B40" t="s">
        <v>87</v>
      </c>
      <c r="C40" s="12">
        <v>86</v>
      </c>
      <c r="D40" s="8">
        <v>1.99</v>
      </c>
      <c r="E40" s="12">
        <v>18</v>
      </c>
      <c r="F40" s="8">
        <v>0.8</v>
      </c>
      <c r="G40" s="12">
        <v>67</v>
      </c>
      <c r="H40" s="8">
        <v>3.25</v>
      </c>
      <c r="I40" s="12">
        <v>1</v>
      </c>
    </row>
    <row r="41" spans="2:9" ht="15" customHeight="1" x14ac:dyDescent="0.15">
      <c r="B41" t="s">
        <v>98</v>
      </c>
      <c r="C41" s="12">
        <v>78</v>
      </c>
      <c r="D41" s="8">
        <v>1.8</v>
      </c>
      <c r="E41" s="12">
        <v>34</v>
      </c>
      <c r="F41" s="8">
        <v>1.51</v>
      </c>
      <c r="G41" s="12">
        <v>44</v>
      </c>
      <c r="H41" s="8">
        <v>2.13</v>
      </c>
      <c r="I41" s="12">
        <v>0</v>
      </c>
    </row>
    <row r="42" spans="2:9" ht="15" customHeight="1" x14ac:dyDescent="0.15">
      <c r="B42" t="s">
        <v>95</v>
      </c>
      <c r="C42" s="12">
        <v>69</v>
      </c>
      <c r="D42" s="8">
        <v>1.6</v>
      </c>
      <c r="E42" s="12">
        <v>7</v>
      </c>
      <c r="F42" s="8">
        <v>0.31</v>
      </c>
      <c r="G42" s="12">
        <v>62</v>
      </c>
      <c r="H42" s="8">
        <v>3.01</v>
      </c>
      <c r="I42" s="12">
        <v>0</v>
      </c>
    </row>
    <row r="43" spans="2:9" ht="15" customHeight="1" x14ac:dyDescent="0.15">
      <c r="B43" t="s">
        <v>93</v>
      </c>
      <c r="C43" s="12">
        <v>65</v>
      </c>
      <c r="D43" s="8">
        <v>1.5</v>
      </c>
      <c r="E43" s="12">
        <v>25</v>
      </c>
      <c r="F43" s="8">
        <v>1.1100000000000001</v>
      </c>
      <c r="G43" s="12">
        <v>40</v>
      </c>
      <c r="H43" s="8">
        <v>1.94</v>
      </c>
      <c r="I43" s="12">
        <v>0</v>
      </c>
    </row>
    <row r="44" spans="2:9" ht="15" customHeight="1" x14ac:dyDescent="0.15">
      <c r="B44" t="s">
        <v>104</v>
      </c>
      <c r="C44" s="12">
        <v>53</v>
      </c>
      <c r="D44" s="8">
        <v>1.23</v>
      </c>
      <c r="E44" s="12">
        <v>11</v>
      </c>
      <c r="F44" s="8">
        <v>0.49</v>
      </c>
      <c r="G44" s="12">
        <v>42</v>
      </c>
      <c r="H44" s="8">
        <v>2.04</v>
      </c>
      <c r="I44" s="12">
        <v>0</v>
      </c>
    </row>
    <row r="45" spans="2:9" ht="15" customHeight="1" x14ac:dyDescent="0.15">
      <c r="B45" t="s">
        <v>101</v>
      </c>
      <c r="C45" s="12">
        <v>50</v>
      </c>
      <c r="D45" s="8">
        <v>1.1599999999999999</v>
      </c>
      <c r="E45" s="12">
        <v>17</v>
      </c>
      <c r="F45" s="8">
        <v>0.75</v>
      </c>
      <c r="G45" s="12">
        <v>33</v>
      </c>
      <c r="H45" s="8">
        <v>1.6</v>
      </c>
      <c r="I45" s="12">
        <v>0</v>
      </c>
    </row>
    <row r="46" spans="2:9" ht="15" customHeight="1" x14ac:dyDescent="0.15">
      <c r="B46" t="s">
        <v>105</v>
      </c>
      <c r="C46" s="12">
        <v>40</v>
      </c>
      <c r="D46" s="8">
        <v>0.92</v>
      </c>
      <c r="E46" s="12">
        <v>4</v>
      </c>
      <c r="F46" s="8">
        <v>0.18</v>
      </c>
      <c r="G46" s="12">
        <v>36</v>
      </c>
      <c r="H46" s="8">
        <v>1.75</v>
      </c>
      <c r="I46" s="12">
        <v>0</v>
      </c>
    </row>
    <row r="47" spans="2:9" ht="15" customHeight="1" x14ac:dyDescent="0.15">
      <c r="B47" t="s">
        <v>118</v>
      </c>
      <c r="C47" s="12">
        <v>37</v>
      </c>
      <c r="D47" s="8">
        <v>0.86</v>
      </c>
      <c r="E47" s="12">
        <v>10</v>
      </c>
      <c r="F47" s="8">
        <v>0.44</v>
      </c>
      <c r="G47" s="12">
        <v>27</v>
      </c>
      <c r="H47" s="8">
        <v>1.31</v>
      </c>
      <c r="I47" s="12">
        <v>0</v>
      </c>
    </row>
    <row r="48" spans="2:9" ht="15" customHeight="1" x14ac:dyDescent="0.15">
      <c r="B48" t="s">
        <v>109</v>
      </c>
      <c r="C48" s="12">
        <v>35</v>
      </c>
      <c r="D48" s="8">
        <v>0.81</v>
      </c>
      <c r="E48" s="12">
        <v>1</v>
      </c>
      <c r="F48" s="8">
        <v>0.04</v>
      </c>
      <c r="G48" s="12">
        <v>33</v>
      </c>
      <c r="H48" s="8">
        <v>1.6</v>
      </c>
      <c r="I48" s="12">
        <v>1</v>
      </c>
    </row>
    <row r="51" spans="2:9" ht="33" customHeight="1" x14ac:dyDescent="0.15">
      <c r="B51" t="s">
        <v>283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311</v>
      </c>
      <c r="D52" s="8">
        <v>7.19</v>
      </c>
      <c r="E52" s="12">
        <v>234</v>
      </c>
      <c r="F52" s="8">
        <v>10.36</v>
      </c>
      <c r="G52" s="12">
        <v>77</v>
      </c>
      <c r="H52" s="8">
        <v>3.73</v>
      </c>
      <c r="I52" s="12">
        <v>0</v>
      </c>
    </row>
    <row r="53" spans="2:9" ht="15" customHeight="1" x14ac:dyDescent="0.15">
      <c r="B53" t="s">
        <v>145</v>
      </c>
      <c r="C53" s="12">
        <v>187</v>
      </c>
      <c r="D53" s="8">
        <v>4.32</v>
      </c>
      <c r="E53" s="12">
        <v>114</v>
      </c>
      <c r="F53" s="8">
        <v>5.05</v>
      </c>
      <c r="G53" s="12">
        <v>73</v>
      </c>
      <c r="H53" s="8">
        <v>3.54</v>
      </c>
      <c r="I53" s="12">
        <v>0</v>
      </c>
    </row>
    <row r="54" spans="2:9" ht="15" customHeight="1" x14ac:dyDescent="0.15">
      <c r="B54" t="s">
        <v>150</v>
      </c>
      <c r="C54" s="12">
        <v>185</v>
      </c>
      <c r="D54" s="8">
        <v>4.28</v>
      </c>
      <c r="E54" s="12">
        <v>150</v>
      </c>
      <c r="F54" s="8">
        <v>6.64</v>
      </c>
      <c r="G54" s="12">
        <v>35</v>
      </c>
      <c r="H54" s="8">
        <v>1.7</v>
      </c>
      <c r="I54" s="12">
        <v>0</v>
      </c>
    </row>
    <row r="55" spans="2:9" ht="15" customHeight="1" x14ac:dyDescent="0.15">
      <c r="B55" t="s">
        <v>155</v>
      </c>
      <c r="C55" s="12">
        <v>159</v>
      </c>
      <c r="D55" s="8">
        <v>3.68</v>
      </c>
      <c r="E55" s="12">
        <v>129</v>
      </c>
      <c r="F55" s="8">
        <v>5.71</v>
      </c>
      <c r="G55" s="12">
        <v>30</v>
      </c>
      <c r="H55" s="8">
        <v>1.45</v>
      </c>
      <c r="I55" s="12">
        <v>0</v>
      </c>
    </row>
    <row r="56" spans="2:9" ht="15" customHeight="1" x14ac:dyDescent="0.15">
      <c r="B56" t="s">
        <v>142</v>
      </c>
      <c r="C56" s="12">
        <v>149</v>
      </c>
      <c r="D56" s="8">
        <v>3.45</v>
      </c>
      <c r="E56" s="12">
        <v>72</v>
      </c>
      <c r="F56" s="8">
        <v>3.19</v>
      </c>
      <c r="G56" s="12">
        <v>77</v>
      </c>
      <c r="H56" s="8">
        <v>3.73</v>
      </c>
      <c r="I56" s="12">
        <v>0</v>
      </c>
    </row>
    <row r="57" spans="2:9" ht="15" customHeight="1" x14ac:dyDescent="0.15">
      <c r="B57" t="s">
        <v>156</v>
      </c>
      <c r="C57" s="12">
        <v>141</v>
      </c>
      <c r="D57" s="8">
        <v>3.26</v>
      </c>
      <c r="E57" s="12">
        <v>115</v>
      </c>
      <c r="F57" s="8">
        <v>5.09</v>
      </c>
      <c r="G57" s="12">
        <v>26</v>
      </c>
      <c r="H57" s="8">
        <v>1.26</v>
      </c>
      <c r="I57" s="12">
        <v>0</v>
      </c>
    </row>
    <row r="58" spans="2:9" ht="15" customHeight="1" x14ac:dyDescent="0.15">
      <c r="B58" t="s">
        <v>170</v>
      </c>
      <c r="C58" s="12">
        <v>126</v>
      </c>
      <c r="D58" s="8">
        <v>2.91</v>
      </c>
      <c r="E58" s="12">
        <v>109</v>
      </c>
      <c r="F58" s="8">
        <v>4.83</v>
      </c>
      <c r="G58" s="12">
        <v>17</v>
      </c>
      <c r="H58" s="8">
        <v>0.82</v>
      </c>
      <c r="I58" s="12">
        <v>0</v>
      </c>
    </row>
    <row r="59" spans="2:9" ht="15" customHeight="1" x14ac:dyDescent="0.15">
      <c r="B59" t="s">
        <v>143</v>
      </c>
      <c r="C59" s="12">
        <v>113</v>
      </c>
      <c r="D59" s="8">
        <v>2.61</v>
      </c>
      <c r="E59" s="12">
        <v>65</v>
      </c>
      <c r="F59" s="8">
        <v>2.88</v>
      </c>
      <c r="G59" s="12">
        <v>48</v>
      </c>
      <c r="H59" s="8">
        <v>2.33</v>
      </c>
      <c r="I59" s="12">
        <v>0</v>
      </c>
    </row>
    <row r="60" spans="2:9" ht="15" customHeight="1" x14ac:dyDescent="0.15">
      <c r="B60" t="s">
        <v>152</v>
      </c>
      <c r="C60" s="12">
        <v>113</v>
      </c>
      <c r="D60" s="8">
        <v>2.61</v>
      </c>
      <c r="E60" s="12">
        <v>103</v>
      </c>
      <c r="F60" s="8">
        <v>4.5599999999999996</v>
      </c>
      <c r="G60" s="12">
        <v>10</v>
      </c>
      <c r="H60" s="8">
        <v>0.48</v>
      </c>
      <c r="I60" s="12">
        <v>0</v>
      </c>
    </row>
    <row r="61" spans="2:9" ht="15" customHeight="1" x14ac:dyDescent="0.15">
      <c r="B61" t="s">
        <v>157</v>
      </c>
      <c r="C61" s="12">
        <v>113</v>
      </c>
      <c r="D61" s="8">
        <v>2.61</v>
      </c>
      <c r="E61" s="12">
        <v>97</v>
      </c>
      <c r="F61" s="8">
        <v>4.29</v>
      </c>
      <c r="G61" s="12">
        <v>16</v>
      </c>
      <c r="H61" s="8">
        <v>0.78</v>
      </c>
      <c r="I61" s="12">
        <v>0</v>
      </c>
    </row>
    <row r="62" spans="2:9" ht="15" customHeight="1" x14ac:dyDescent="0.15">
      <c r="B62" t="s">
        <v>151</v>
      </c>
      <c r="C62" s="12">
        <v>104</v>
      </c>
      <c r="D62" s="8">
        <v>2.4</v>
      </c>
      <c r="E62" s="12">
        <v>86</v>
      </c>
      <c r="F62" s="8">
        <v>3.81</v>
      </c>
      <c r="G62" s="12">
        <v>18</v>
      </c>
      <c r="H62" s="8">
        <v>0.87</v>
      </c>
      <c r="I62" s="12">
        <v>0</v>
      </c>
    </row>
    <row r="63" spans="2:9" ht="15" customHeight="1" x14ac:dyDescent="0.15">
      <c r="B63" t="s">
        <v>166</v>
      </c>
      <c r="C63" s="12">
        <v>99</v>
      </c>
      <c r="D63" s="8">
        <v>2.29</v>
      </c>
      <c r="E63" s="12">
        <v>49</v>
      </c>
      <c r="F63" s="8">
        <v>2.17</v>
      </c>
      <c r="G63" s="12">
        <v>50</v>
      </c>
      <c r="H63" s="8">
        <v>2.42</v>
      </c>
      <c r="I63" s="12">
        <v>0</v>
      </c>
    </row>
    <row r="64" spans="2:9" ht="15" customHeight="1" x14ac:dyDescent="0.15">
      <c r="B64" t="s">
        <v>165</v>
      </c>
      <c r="C64" s="12">
        <v>96</v>
      </c>
      <c r="D64" s="8">
        <v>2.2200000000000002</v>
      </c>
      <c r="E64" s="12">
        <v>56</v>
      </c>
      <c r="F64" s="8">
        <v>2.48</v>
      </c>
      <c r="G64" s="12">
        <v>40</v>
      </c>
      <c r="H64" s="8">
        <v>1.94</v>
      </c>
      <c r="I64" s="12">
        <v>0</v>
      </c>
    </row>
    <row r="65" spans="2:9" ht="15" customHeight="1" x14ac:dyDescent="0.15">
      <c r="B65" t="s">
        <v>149</v>
      </c>
      <c r="C65" s="12">
        <v>95</v>
      </c>
      <c r="D65" s="8">
        <v>2.2000000000000002</v>
      </c>
      <c r="E65" s="12">
        <v>4</v>
      </c>
      <c r="F65" s="8">
        <v>0.18</v>
      </c>
      <c r="G65" s="12">
        <v>91</v>
      </c>
      <c r="H65" s="8">
        <v>4.41</v>
      </c>
      <c r="I65" s="12">
        <v>0</v>
      </c>
    </row>
    <row r="66" spans="2:9" ht="15" customHeight="1" x14ac:dyDescent="0.15">
      <c r="B66" t="s">
        <v>147</v>
      </c>
      <c r="C66" s="12">
        <v>83</v>
      </c>
      <c r="D66" s="8">
        <v>1.92</v>
      </c>
      <c r="E66" s="12">
        <v>30</v>
      </c>
      <c r="F66" s="8">
        <v>1.33</v>
      </c>
      <c r="G66" s="12">
        <v>53</v>
      </c>
      <c r="H66" s="8">
        <v>2.57</v>
      </c>
      <c r="I66" s="12">
        <v>0</v>
      </c>
    </row>
    <row r="67" spans="2:9" ht="15" customHeight="1" x14ac:dyDescent="0.15">
      <c r="B67" t="s">
        <v>154</v>
      </c>
      <c r="C67" s="12">
        <v>66</v>
      </c>
      <c r="D67" s="8">
        <v>1.53</v>
      </c>
      <c r="E67" s="12">
        <v>58</v>
      </c>
      <c r="F67" s="8">
        <v>2.57</v>
      </c>
      <c r="G67" s="12">
        <v>8</v>
      </c>
      <c r="H67" s="8">
        <v>0.39</v>
      </c>
      <c r="I67" s="12">
        <v>0</v>
      </c>
    </row>
    <row r="68" spans="2:9" ht="15" customHeight="1" x14ac:dyDescent="0.15">
      <c r="B68" t="s">
        <v>185</v>
      </c>
      <c r="C68" s="12">
        <v>65</v>
      </c>
      <c r="D68" s="8">
        <v>1.5</v>
      </c>
      <c r="E68" s="12">
        <v>41</v>
      </c>
      <c r="F68" s="8">
        <v>1.81</v>
      </c>
      <c r="G68" s="12">
        <v>24</v>
      </c>
      <c r="H68" s="8">
        <v>1.1599999999999999</v>
      </c>
      <c r="I68" s="12">
        <v>0</v>
      </c>
    </row>
    <row r="69" spans="2:9" ht="15" customHeight="1" x14ac:dyDescent="0.15">
      <c r="B69" t="s">
        <v>146</v>
      </c>
      <c r="C69" s="12">
        <v>56</v>
      </c>
      <c r="D69" s="8">
        <v>1.29</v>
      </c>
      <c r="E69" s="12">
        <v>6</v>
      </c>
      <c r="F69" s="8">
        <v>0.27</v>
      </c>
      <c r="G69" s="12">
        <v>50</v>
      </c>
      <c r="H69" s="8">
        <v>2.42</v>
      </c>
      <c r="I69" s="12">
        <v>0</v>
      </c>
    </row>
    <row r="70" spans="2:9" ht="15" customHeight="1" x14ac:dyDescent="0.15">
      <c r="B70" t="s">
        <v>153</v>
      </c>
      <c r="C70" s="12">
        <v>55</v>
      </c>
      <c r="D70" s="8">
        <v>1.27</v>
      </c>
      <c r="E70" s="12">
        <v>28</v>
      </c>
      <c r="F70" s="8">
        <v>1.24</v>
      </c>
      <c r="G70" s="12">
        <v>27</v>
      </c>
      <c r="H70" s="8">
        <v>1.31</v>
      </c>
      <c r="I70" s="12">
        <v>0</v>
      </c>
    </row>
    <row r="71" spans="2:9" ht="15" customHeight="1" x14ac:dyDescent="0.15">
      <c r="B71" t="s">
        <v>169</v>
      </c>
      <c r="C71" s="12">
        <v>50</v>
      </c>
      <c r="D71" s="8">
        <v>1.1599999999999999</v>
      </c>
      <c r="E71" s="12">
        <v>4</v>
      </c>
      <c r="F71" s="8">
        <v>0.18</v>
      </c>
      <c r="G71" s="12">
        <v>46</v>
      </c>
      <c r="H71" s="8">
        <v>2.23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347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934</v>
      </c>
      <c r="D6" s="8">
        <v>13.13</v>
      </c>
      <c r="E6" s="12">
        <v>165</v>
      </c>
      <c r="F6" s="8">
        <v>4.88</v>
      </c>
      <c r="G6" s="12">
        <v>769</v>
      </c>
      <c r="H6" s="8">
        <v>20.61</v>
      </c>
      <c r="I6" s="12">
        <v>0</v>
      </c>
    </row>
    <row r="7" spans="2:9" ht="15" customHeight="1" x14ac:dyDescent="0.15">
      <c r="B7" t="s">
        <v>64</v>
      </c>
      <c r="C7" s="12">
        <v>445</v>
      </c>
      <c r="D7" s="8">
        <v>6.25</v>
      </c>
      <c r="E7" s="12">
        <v>99</v>
      </c>
      <c r="F7" s="8">
        <v>2.93</v>
      </c>
      <c r="G7" s="12">
        <v>346</v>
      </c>
      <c r="H7" s="8">
        <v>9.27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67</v>
      </c>
      <c r="D9" s="8">
        <v>0.94</v>
      </c>
      <c r="E9" s="12">
        <v>6</v>
      </c>
      <c r="F9" s="8">
        <v>0.18</v>
      </c>
      <c r="G9" s="12">
        <v>61</v>
      </c>
      <c r="H9" s="8">
        <v>1.63</v>
      </c>
      <c r="I9" s="12">
        <v>0</v>
      </c>
    </row>
    <row r="10" spans="2:9" ht="15" customHeight="1" x14ac:dyDescent="0.15">
      <c r="B10" t="s">
        <v>67</v>
      </c>
      <c r="C10" s="12">
        <v>44</v>
      </c>
      <c r="D10" s="8">
        <v>0.62</v>
      </c>
      <c r="E10" s="12">
        <v>8</v>
      </c>
      <c r="F10" s="8">
        <v>0.24</v>
      </c>
      <c r="G10" s="12">
        <v>36</v>
      </c>
      <c r="H10" s="8">
        <v>0.96</v>
      </c>
      <c r="I10" s="12">
        <v>0</v>
      </c>
    </row>
    <row r="11" spans="2:9" ht="15" customHeight="1" x14ac:dyDescent="0.15">
      <c r="B11" t="s">
        <v>68</v>
      </c>
      <c r="C11" s="12">
        <v>1577</v>
      </c>
      <c r="D11" s="8">
        <v>22.16</v>
      </c>
      <c r="E11" s="12">
        <v>601</v>
      </c>
      <c r="F11" s="8">
        <v>17.79</v>
      </c>
      <c r="G11" s="12">
        <v>976</v>
      </c>
      <c r="H11" s="8">
        <v>26.15</v>
      </c>
      <c r="I11" s="12">
        <v>0</v>
      </c>
    </row>
    <row r="12" spans="2:9" ht="15" customHeight="1" x14ac:dyDescent="0.15">
      <c r="B12" t="s">
        <v>69</v>
      </c>
      <c r="C12" s="12">
        <v>36</v>
      </c>
      <c r="D12" s="8">
        <v>0.51</v>
      </c>
      <c r="E12" s="12">
        <v>2</v>
      </c>
      <c r="F12" s="8">
        <v>0.06</v>
      </c>
      <c r="G12" s="12">
        <v>34</v>
      </c>
      <c r="H12" s="8">
        <v>0.91</v>
      </c>
      <c r="I12" s="12">
        <v>0</v>
      </c>
    </row>
    <row r="13" spans="2:9" ht="15" customHeight="1" x14ac:dyDescent="0.15">
      <c r="B13" t="s">
        <v>70</v>
      </c>
      <c r="C13" s="12">
        <v>937</v>
      </c>
      <c r="D13" s="8">
        <v>13.17</v>
      </c>
      <c r="E13" s="12">
        <v>438</v>
      </c>
      <c r="F13" s="8">
        <v>12.96</v>
      </c>
      <c r="G13" s="12">
        <v>496</v>
      </c>
      <c r="H13" s="8">
        <v>13.29</v>
      </c>
      <c r="I13" s="12">
        <v>3</v>
      </c>
    </row>
    <row r="14" spans="2:9" ht="15" customHeight="1" x14ac:dyDescent="0.15">
      <c r="B14" t="s">
        <v>71</v>
      </c>
      <c r="C14" s="12">
        <v>348</v>
      </c>
      <c r="D14" s="8">
        <v>4.8899999999999997</v>
      </c>
      <c r="E14" s="12">
        <v>182</v>
      </c>
      <c r="F14" s="8">
        <v>5.39</v>
      </c>
      <c r="G14" s="12">
        <v>166</v>
      </c>
      <c r="H14" s="8">
        <v>4.45</v>
      </c>
      <c r="I14" s="12">
        <v>0</v>
      </c>
    </row>
    <row r="15" spans="2:9" ht="15" customHeight="1" x14ac:dyDescent="0.15">
      <c r="B15" t="s">
        <v>72</v>
      </c>
      <c r="C15" s="12">
        <v>912</v>
      </c>
      <c r="D15" s="8">
        <v>12.82</v>
      </c>
      <c r="E15" s="12">
        <v>694</v>
      </c>
      <c r="F15" s="8">
        <v>20.54</v>
      </c>
      <c r="G15" s="12">
        <v>218</v>
      </c>
      <c r="H15" s="8">
        <v>5.84</v>
      </c>
      <c r="I15" s="12">
        <v>0</v>
      </c>
    </row>
    <row r="16" spans="2:9" ht="15" customHeight="1" x14ac:dyDescent="0.15">
      <c r="B16" t="s">
        <v>73</v>
      </c>
      <c r="C16" s="12">
        <v>869</v>
      </c>
      <c r="D16" s="8">
        <v>12.21</v>
      </c>
      <c r="E16" s="12">
        <v>608</v>
      </c>
      <c r="F16" s="8">
        <v>17.989999999999998</v>
      </c>
      <c r="G16" s="12">
        <v>261</v>
      </c>
      <c r="H16" s="8">
        <v>6.99</v>
      </c>
      <c r="I16" s="12">
        <v>0</v>
      </c>
    </row>
    <row r="17" spans="2:9" ht="15" customHeight="1" x14ac:dyDescent="0.15">
      <c r="B17" t="s">
        <v>74</v>
      </c>
      <c r="C17" s="12">
        <v>303</v>
      </c>
      <c r="D17" s="8">
        <v>4.26</v>
      </c>
      <c r="E17" s="12">
        <v>197</v>
      </c>
      <c r="F17" s="8">
        <v>5.83</v>
      </c>
      <c r="G17" s="12">
        <v>105</v>
      </c>
      <c r="H17" s="8">
        <v>2.81</v>
      </c>
      <c r="I17" s="12">
        <v>1</v>
      </c>
    </row>
    <row r="18" spans="2:9" ht="15" customHeight="1" x14ac:dyDescent="0.15">
      <c r="B18" t="s">
        <v>75</v>
      </c>
      <c r="C18" s="12">
        <v>444</v>
      </c>
      <c r="D18" s="8">
        <v>6.24</v>
      </c>
      <c r="E18" s="12">
        <v>319</v>
      </c>
      <c r="F18" s="8">
        <v>9.44</v>
      </c>
      <c r="G18" s="12">
        <v>124</v>
      </c>
      <c r="H18" s="8">
        <v>3.32</v>
      </c>
      <c r="I18" s="12">
        <v>1</v>
      </c>
    </row>
    <row r="19" spans="2:9" ht="15" customHeight="1" x14ac:dyDescent="0.15">
      <c r="B19" t="s">
        <v>76</v>
      </c>
      <c r="C19" s="12">
        <v>200</v>
      </c>
      <c r="D19" s="8">
        <v>2.81</v>
      </c>
      <c r="E19" s="12">
        <v>60</v>
      </c>
      <c r="F19" s="8">
        <v>1.78</v>
      </c>
      <c r="G19" s="12">
        <v>140</v>
      </c>
      <c r="H19" s="8">
        <v>3.75</v>
      </c>
      <c r="I19" s="12">
        <v>0</v>
      </c>
    </row>
    <row r="20" spans="2:9" ht="15" customHeight="1" x14ac:dyDescent="0.15">
      <c r="B20" s="9" t="s">
        <v>216</v>
      </c>
      <c r="C20" s="12">
        <f>SUM(LTBL_14205[総数／事業所数])</f>
        <v>7116</v>
      </c>
      <c r="E20" s="12">
        <f>SUBTOTAL(109,LTBL_14205[個人／事業所数])</f>
        <v>3379</v>
      </c>
      <c r="G20" s="12">
        <f>SUBTOTAL(109,LTBL_14205[法人／事業所数])</f>
        <v>3732</v>
      </c>
      <c r="I20" s="12">
        <f>SUBTOTAL(109,LTBL_14205[法人以外の団体／事業所数])</f>
        <v>5</v>
      </c>
    </row>
    <row r="21" spans="2:9" ht="15" customHeight="1" x14ac:dyDescent="0.15">
      <c r="E21" s="11">
        <f>LTBL_14205[[#Totals],[個人／事業所数]]/LTBL_14205[[#Totals],[総数／事業所数]]</f>
        <v>0.47484541877459246</v>
      </c>
      <c r="G21" s="11">
        <f>LTBL_14205[[#Totals],[法人／事業所数]]/LTBL_14205[[#Totals],[総数／事業所数]]</f>
        <v>0.52445193929173695</v>
      </c>
      <c r="I21" s="11">
        <f>LTBL_14205[[#Totals],[法人以外の団体／事業所数]]/LTBL_14205[[#Totals],[総数／事業所数]]</f>
        <v>7.026419336706015E-4</v>
      </c>
    </row>
    <row r="23" spans="2:9" ht="33" customHeight="1" x14ac:dyDescent="0.15">
      <c r="B23" t="s">
        <v>215</v>
      </c>
      <c r="C23" s="10" t="s">
        <v>78</v>
      </c>
      <c r="D23" s="10" t="s">
        <v>348</v>
      </c>
      <c r="E23" s="10" t="s">
        <v>80</v>
      </c>
      <c r="F23" s="10" t="s">
        <v>349</v>
      </c>
      <c r="G23" s="10" t="s">
        <v>82</v>
      </c>
      <c r="H23" s="10" t="s">
        <v>350</v>
      </c>
      <c r="I23" s="10" t="s">
        <v>84</v>
      </c>
    </row>
    <row r="24" spans="2:9" ht="15" customHeight="1" x14ac:dyDescent="0.15">
      <c r="B24" t="s">
        <v>218</v>
      </c>
      <c r="C24">
        <v>28</v>
      </c>
      <c r="D24" t="s">
        <v>217</v>
      </c>
      <c r="E24">
        <v>0</v>
      </c>
      <c r="F24" t="s">
        <v>219</v>
      </c>
      <c r="G24">
        <v>28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336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845</v>
      </c>
      <c r="D29" s="8">
        <v>11.87</v>
      </c>
      <c r="E29" s="12">
        <v>683</v>
      </c>
      <c r="F29" s="8">
        <v>20.21</v>
      </c>
      <c r="G29" s="12">
        <v>162</v>
      </c>
      <c r="H29" s="8">
        <v>4.34</v>
      </c>
      <c r="I29" s="12">
        <v>0</v>
      </c>
    </row>
    <row r="30" spans="2:9" ht="15" customHeight="1" x14ac:dyDescent="0.15">
      <c r="B30" t="s">
        <v>96</v>
      </c>
      <c r="C30" s="12">
        <v>774</v>
      </c>
      <c r="D30" s="8">
        <v>10.88</v>
      </c>
      <c r="E30" s="12">
        <v>428</v>
      </c>
      <c r="F30" s="8">
        <v>12.67</v>
      </c>
      <c r="G30" s="12">
        <v>343</v>
      </c>
      <c r="H30" s="8">
        <v>9.19</v>
      </c>
      <c r="I30" s="12">
        <v>3</v>
      </c>
    </row>
    <row r="31" spans="2:9" ht="15" customHeight="1" x14ac:dyDescent="0.15">
      <c r="B31" t="s">
        <v>100</v>
      </c>
      <c r="C31" s="12">
        <v>724</v>
      </c>
      <c r="D31" s="8">
        <v>10.17</v>
      </c>
      <c r="E31" s="12">
        <v>553</v>
      </c>
      <c r="F31" s="8">
        <v>16.37</v>
      </c>
      <c r="G31" s="12">
        <v>171</v>
      </c>
      <c r="H31" s="8">
        <v>4.58</v>
      </c>
      <c r="I31" s="12">
        <v>0</v>
      </c>
    </row>
    <row r="32" spans="2:9" ht="15" customHeight="1" x14ac:dyDescent="0.15">
      <c r="B32" t="s">
        <v>94</v>
      </c>
      <c r="C32" s="12">
        <v>503</v>
      </c>
      <c r="D32" s="8">
        <v>7.07</v>
      </c>
      <c r="E32" s="12">
        <v>213</v>
      </c>
      <c r="F32" s="8">
        <v>6.3</v>
      </c>
      <c r="G32" s="12">
        <v>290</v>
      </c>
      <c r="H32" s="8">
        <v>7.77</v>
      </c>
      <c r="I32" s="12">
        <v>0</v>
      </c>
    </row>
    <row r="33" spans="2:9" ht="15" customHeight="1" x14ac:dyDescent="0.15">
      <c r="B33" t="s">
        <v>85</v>
      </c>
      <c r="C33" s="12">
        <v>397</v>
      </c>
      <c r="D33" s="8">
        <v>5.58</v>
      </c>
      <c r="E33" s="12">
        <v>56</v>
      </c>
      <c r="F33" s="8">
        <v>1.66</v>
      </c>
      <c r="G33" s="12">
        <v>341</v>
      </c>
      <c r="H33" s="8">
        <v>9.14</v>
      </c>
      <c r="I33" s="12">
        <v>0</v>
      </c>
    </row>
    <row r="34" spans="2:9" ht="15" customHeight="1" x14ac:dyDescent="0.15">
      <c r="B34" t="s">
        <v>92</v>
      </c>
      <c r="C34" s="12">
        <v>360</v>
      </c>
      <c r="D34" s="8">
        <v>5.0599999999999996</v>
      </c>
      <c r="E34" s="12">
        <v>182</v>
      </c>
      <c r="F34" s="8">
        <v>5.39</v>
      </c>
      <c r="G34" s="12">
        <v>178</v>
      </c>
      <c r="H34" s="8">
        <v>4.7699999999999996</v>
      </c>
      <c r="I34" s="12">
        <v>0</v>
      </c>
    </row>
    <row r="35" spans="2:9" ht="15" customHeight="1" x14ac:dyDescent="0.15">
      <c r="B35" t="s">
        <v>103</v>
      </c>
      <c r="C35" s="12">
        <v>357</v>
      </c>
      <c r="D35" s="8">
        <v>5.0199999999999996</v>
      </c>
      <c r="E35" s="12">
        <v>317</v>
      </c>
      <c r="F35" s="8">
        <v>9.3800000000000008</v>
      </c>
      <c r="G35" s="12">
        <v>39</v>
      </c>
      <c r="H35" s="8">
        <v>1.05</v>
      </c>
      <c r="I35" s="12">
        <v>1</v>
      </c>
    </row>
    <row r="36" spans="2:9" ht="15" customHeight="1" x14ac:dyDescent="0.15">
      <c r="B36" t="s">
        <v>102</v>
      </c>
      <c r="C36" s="12">
        <v>303</v>
      </c>
      <c r="D36" s="8">
        <v>4.26</v>
      </c>
      <c r="E36" s="12">
        <v>197</v>
      </c>
      <c r="F36" s="8">
        <v>5.83</v>
      </c>
      <c r="G36" s="12">
        <v>105</v>
      </c>
      <c r="H36" s="8">
        <v>2.81</v>
      </c>
      <c r="I36" s="12">
        <v>1</v>
      </c>
    </row>
    <row r="37" spans="2:9" ht="15" customHeight="1" x14ac:dyDescent="0.15">
      <c r="B37" t="s">
        <v>86</v>
      </c>
      <c r="C37" s="12">
        <v>289</v>
      </c>
      <c r="D37" s="8">
        <v>4.0599999999999996</v>
      </c>
      <c r="E37" s="12">
        <v>79</v>
      </c>
      <c r="F37" s="8">
        <v>2.34</v>
      </c>
      <c r="G37" s="12">
        <v>210</v>
      </c>
      <c r="H37" s="8">
        <v>5.63</v>
      </c>
      <c r="I37" s="12">
        <v>0</v>
      </c>
    </row>
    <row r="38" spans="2:9" ht="15" customHeight="1" x14ac:dyDescent="0.15">
      <c r="B38" t="s">
        <v>87</v>
      </c>
      <c r="C38" s="12">
        <v>248</v>
      </c>
      <c r="D38" s="8">
        <v>3.49</v>
      </c>
      <c r="E38" s="12">
        <v>30</v>
      </c>
      <c r="F38" s="8">
        <v>0.89</v>
      </c>
      <c r="G38" s="12">
        <v>218</v>
      </c>
      <c r="H38" s="8">
        <v>5.84</v>
      </c>
      <c r="I38" s="12">
        <v>0</v>
      </c>
    </row>
    <row r="39" spans="2:9" ht="15" customHeight="1" x14ac:dyDescent="0.15">
      <c r="B39" t="s">
        <v>93</v>
      </c>
      <c r="C39" s="12">
        <v>201</v>
      </c>
      <c r="D39" s="8">
        <v>2.82</v>
      </c>
      <c r="E39" s="12">
        <v>80</v>
      </c>
      <c r="F39" s="8">
        <v>2.37</v>
      </c>
      <c r="G39" s="12">
        <v>121</v>
      </c>
      <c r="H39" s="8">
        <v>3.24</v>
      </c>
      <c r="I39" s="12">
        <v>0</v>
      </c>
    </row>
    <row r="40" spans="2:9" ht="15" customHeight="1" x14ac:dyDescent="0.15">
      <c r="B40" t="s">
        <v>91</v>
      </c>
      <c r="C40" s="12">
        <v>186</v>
      </c>
      <c r="D40" s="8">
        <v>2.61</v>
      </c>
      <c r="E40" s="12">
        <v>82</v>
      </c>
      <c r="F40" s="8">
        <v>2.4300000000000002</v>
      </c>
      <c r="G40" s="12">
        <v>104</v>
      </c>
      <c r="H40" s="8">
        <v>2.79</v>
      </c>
      <c r="I40" s="12">
        <v>0</v>
      </c>
    </row>
    <row r="41" spans="2:9" ht="15" customHeight="1" x14ac:dyDescent="0.15">
      <c r="B41" t="s">
        <v>97</v>
      </c>
      <c r="C41" s="12">
        <v>179</v>
      </c>
      <c r="D41" s="8">
        <v>2.52</v>
      </c>
      <c r="E41" s="12">
        <v>106</v>
      </c>
      <c r="F41" s="8">
        <v>3.14</v>
      </c>
      <c r="G41" s="12">
        <v>73</v>
      </c>
      <c r="H41" s="8">
        <v>1.96</v>
      </c>
      <c r="I41" s="12">
        <v>0</v>
      </c>
    </row>
    <row r="42" spans="2:9" ht="15" customHeight="1" x14ac:dyDescent="0.15">
      <c r="B42" t="s">
        <v>98</v>
      </c>
      <c r="C42" s="12">
        <v>157</v>
      </c>
      <c r="D42" s="8">
        <v>2.21</v>
      </c>
      <c r="E42" s="12">
        <v>76</v>
      </c>
      <c r="F42" s="8">
        <v>2.25</v>
      </c>
      <c r="G42" s="12">
        <v>81</v>
      </c>
      <c r="H42" s="8">
        <v>2.17</v>
      </c>
      <c r="I42" s="12">
        <v>0</v>
      </c>
    </row>
    <row r="43" spans="2:9" ht="15" customHeight="1" x14ac:dyDescent="0.15">
      <c r="B43" t="s">
        <v>95</v>
      </c>
      <c r="C43" s="12">
        <v>146</v>
      </c>
      <c r="D43" s="8">
        <v>2.0499999999999998</v>
      </c>
      <c r="E43" s="12">
        <v>9</v>
      </c>
      <c r="F43" s="8">
        <v>0.27</v>
      </c>
      <c r="G43" s="12">
        <v>137</v>
      </c>
      <c r="H43" s="8">
        <v>3.67</v>
      </c>
      <c r="I43" s="12">
        <v>0</v>
      </c>
    </row>
    <row r="44" spans="2:9" ht="15" customHeight="1" x14ac:dyDescent="0.15">
      <c r="B44" t="s">
        <v>88</v>
      </c>
      <c r="C44" s="12">
        <v>88</v>
      </c>
      <c r="D44" s="8">
        <v>1.24</v>
      </c>
      <c r="E44" s="12">
        <v>12</v>
      </c>
      <c r="F44" s="8">
        <v>0.36</v>
      </c>
      <c r="G44" s="12">
        <v>76</v>
      </c>
      <c r="H44" s="8">
        <v>2.04</v>
      </c>
      <c r="I44" s="12">
        <v>0</v>
      </c>
    </row>
    <row r="45" spans="2:9" ht="15" customHeight="1" x14ac:dyDescent="0.15">
      <c r="B45" t="s">
        <v>108</v>
      </c>
      <c r="C45" s="12">
        <v>87</v>
      </c>
      <c r="D45" s="8">
        <v>1.22</v>
      </c>
      <c r="E45" s="12">
        <v>2</v>
      </c>
      <c r="F45" s="8">
        <v>0.06</v>
      </c>
      <c r="G45" s="12">
        <v>85</v>
      </c>
      <c r="H45" s="8">
        <v>2.2799999999999998</v>
      </c>
      <c r="I45" s="12">
        <v>0</v>
      </c>
    </row>
    <row r="46" spans="2:9" ht="15" customHeight="1" x14ac:dyDescent="0.15">
      <c r="B46" t="s">
        <v>101</v>
      </c>
      <c r="C46" s="12">
        <v>86</v>
      </c>
      <c r="D46" s="8">
        <v>1.21</v>
      </c>
      <c r="E46" s="12">
        <v>31</v>
      </c>
      <c r="F46" s="8">
        <v>0.92</v>
      </c>
      <c r="G46" s="12">
        <v>55</v>
      </c>
      <c r="H46" s="8">
        <v>1.47</v>
      </c>
      <c r="I46" s="12">
        <v>0</v>
      </c>
    </row>
    <row r="47" spans="2:9" ht="15" customHeight="1" x14ac:dyDescent="0.15">
      <c r="B47" t="s">
        <v>90</v>
      </c>
      <c r="C47" s="12">
        <v>83</v>
      </c>
      <c r="D47" s="8">
        <v>1.17</v>
      </c>
      <c r="E47" s="12">
        <v>9</v>
      </c>
      <c r="F47" s="8">
        <v>0.27</v>
      </c>
      <c r="G47" s="12">
        <v>74</v>
      </c>
      <c r="H47" s="8">
        <v>1.98</v>
      </c>
      <c r="I47" s="12">
        <v>0</v>
      </c>
    </row>
    <row r="48" spans="2:9" ht="15" customHeight="1" x14ac:dyDescent="0.15">
      <c r="B48" t="s">
        <v>105</v>
      </c>
      <c r="C48" s="12">
        <v>75</v>
      </c>
      <c r="D48" s="8">
        <v>1.05</v>
      </c>
      <c r="E48" s="12">
        <v>12</v>
      </c>
      <c r="F48" s="8">
        <v>0.36</v>
      </c>
      <c r="G48" s="12">
        <v>63</v>
      </c>
      <c r="H48" s="8">
        <v>1.69</v>
      </c>
      <c r="I48" s="12">
        <v>0</v>
      </c>
    </row>
    <row r="51" spans="2:9" ht="33" customHeight="1" x14ac:dyDescent="0.15">
      <c r="B51" t="s">
        <v>351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466</v>
      </c>
      <c r="D52" s="8">
        <v>6.55</v>
      </c>
      <c r="E52" s="12">
        <v>357</v>
      </c>
      <c r="F52" s="8">
        <v>10.57</v>
      </c>
      <c r="G52" s="12">
        <v>109</v>
      </c>
      <c r="H52" s="8">
        <v>2.92</v>
      </c>
      <c r="I52" s="12">
        <v>0</v>
      </c>
    </row>
    <row r="53" spans="2:9" ht="15" customHeight="1" x14ac:dyDescent="0.15">
      <c r="B53" t="s">
        <v>155</v>
      </c>
      <c r="C53" s="12">
        <v>379</v>
      </c>
      <c r="D53" s="8">
        <v>5.33</v>
      </c>
      <c r="E53" s="12">
        <v>304</v>
      </c>
      <c r="F53" s="8">
        <v>9</v>
      </c>
      <c r="G53" s="12">
        <v>75</v>
      </c>
      <c r="H53" s="8">
        <v>2.0099999999999998</v>
      </c>
      <c r="I53" s="12">
        <v>0</v>
      </c>
    </row>
    <row r="54" spans="2:9" ht="15" customHeight="1" x14ac:dyDescent="0.15">
      <c r="B54" t="s">
        <v>157</v>
      </c>
      <c r="C54" s="12">
        <v>237</v>
      </c>
      <c r="D54" s="8">
        <v>3.33</v>
      </c>
      <c r="E54" s="12">
        <v>213</v>
      </c>
      <c r="F54" s="8">
        <v>6.3</v>
      </c>
      <c r="G54" s="12">
        <v>24</v>
      </c>
      <c r="H54" s="8">
        <v>0.64</v>
      </c>
      <c r="I54" s="12">
        <v>0</v>
      </c>
    </row>
    <row r="55" spans="2:9" ht="15" customHeight="1" x14ac:dyDescent="0.15">
      <c r="B55" t="s">
        <v>150</v>
      </c>
      <c r="C55" s="12">
        <v>231</v>
      </c>
      <c r="D55" s="8">
        <v>3.25</v>
      </c>
      <c r="E55" s="12">
        <v>171</v>
      </c>
      <c r="F55" s="8">
        <v>5.0599999999999996</v>
      </c>
      <c r="G55" s="12">
        <v>60</v>
      </c>
      <c r="H55" s="8">
        <v>1.61</v>
      </c>
      <c r="I55" s="12">
        <v>0</v>
      </c>
    </row>
    <row r="56" spans="2:9" ht="15" customHeight="1" x14ac:dyDescent="0.15">
      <c r="B56" t="s">
        <v>156</v>
      </c>
      <c r="C56" s="12">
        <v>210</v>
      </c>
      <c r="D56" s="8">
        <v>2.95</v>
      </c>
      <c r="E56" s="12">
        <v>145</v>
      </c>
      <c r="F56" s="8">
        <v>4.29</v>
      </c>
      <c r="G56" s="12">
        <v>64</v>
      </c>
      <c r="H56" s="8">
        <v>1.71</v>
      </c>
      <c r="I56" s="12">
        <v>1</v>
      </c>
    </row>
    <row r="57" spans="2:9" ht="15" customHeight="1" x14ac:dyDescent="0.15">
      <c r="B57" t="s">
        <v>151</v>
      </c>
      <c r="C57" s="12">
        <v>206</v>
      </c>
      <c r="D57" s="8">
        <v>2.89</v>
      </c>
      <c r="E57" s="12">
        <v>171</v>
      </c>
      <c r="F57" s="8">
        <v>5.0599999999999996</v>
      </c>
      <c r="G57" s="12">
        <v>35</v>
      </c>
      <c r="H57" s="8">
        <v>0.94</v>
      </c>
      <c r="I57" s="12">
        <v>0</v>
      </c>
    </row>
    <row r="58" spans="2:9" ht="15" customHeight="1" x14ac:dyDescent="0.15">
      <c r="B58" t="s">
        <v>152</v>
      </c>
      <c r="C58" s="12">
        <v>192</v>
      </c>
      <c r="D58" s="8">
        <v>2.7</v>
      </c>
      <c r="E58" s="12">
        <v>179</v>
      </c>
      <c r="F58" s="8">
        <v>5.3</v>
      </c>
      <c r="G58" s="12">
        <v>13</v>
      </c>
      <c r="H58" s="8">
        <v>0.35</v>
      </c>
      <c r="I58" s="12">
        <v>0</v>
      </c>
    </row>
    <row r="59" spans="2:9" ht="15" customHeight="1" x14ac:dyDescent="0.15">
      <c r="B59" t="s">
        <v>145</v>
      </c>
      <c r="C59" s="12">
        <v>181</v>
      </c>
      <c r="D59" s="8">
        <v>2.54</v>
      </c>
      <c r="E59" s="12">
        <v>94</v>
      </c>
      <c r="F59" s="8">
        <v>2.78</v>
      </c>
      <c r="G59" s="12">
        <v>87</v>
      </c>
      <c r="H59" s="8">
        <v>2.33</v>
      </c>
      <c r="I59" s="12">
        <v>0</v>
      </c>
    </row>
    <row r="60" spans="2:9" ht="15" customHeight="1" x14ac:dyDescent="0.15">
      <c r="B60" t="s">
        <v>154</v>
      </c>
      <c r="C60" s="12">
        <v>172</v>
      </c>
      <c r="D60" s="8">
        <v>2.42</v>
      </c>
      <c r="E60" s="12">
        <v>154</v>
      </c>
      <c r="F60" s="8">
        <v>4.5599999999999996</v>
      </c>
      <c r="G60" s="12">
        <v>18</v>
      </c>
      <c r="H60" s="8">
        <v>0.48</v>
      </c>
      <c r="I60" s="12">
        <v>0</v>
      </c>
    </row>
    <row r="61" spans="2:9" ht="15" customHeight="1" x14ac:dyDescent="0.15">
      <c r="B61" t="s">
        <v>149</v>
      </c>
      <c r="C61" s="12">
        <v>141</v>
      </c>
      <c r="D61" s="8">
        <v>1.98</v>
      </c>
      <c r="E61" s="12">
        <v>9</v>
      </c>
      <c r="F61" s="8">
        <v>0.27</v>
      </c>
      <c r="G61" s="12">
        <v>129</v>
      </c>
      <c r="H61" s="8">
        <v>3.46</v>
      </c>
      <c r="I61" s="12">
        <v>3</v>
      </c>
    </row>
    <row r="62" spans="2:9" ht="15" customHeight="1" x14ac:dyDescent="0.15">
      <c r="B62" t="s">
        <v>143</v>
      </c>
      <c r="C62" s="12">
        <v>137</v>
      </c>
      <c r="D62" s="8">
        <v>1.93</v>
      </c>
      <c r="E62" s="12">
        <v>60</v>
      </c>
      <c r="F62" s="8">
        <v>1.78</v>
      </c>
      <c r="G62" s="12">
        <v>77</v>
      </c>
      <c r="H62" s="8">
        <v>2.06</v>
      </c>
      <c r="I62" s="12">
        <v>0</v>
      </c>
    </row>
    <row r="63" spans="2:9" ht="15" customHeight="1" x14ac:dyDescent="0.15">
      <c r="B63" t="s">
        <v>147</v>
      </c>
      <c r="C63" s="12">
        <v>121</v>
      </c>
      <c r="D63" s="8">
        <v>1.7</v>
      </c>
      <c r="E63" s="12">
        <v>25</v>
      </c>
      <c r="F63" s="8">
        <v>0.74</v>
      </c>
      <c r="G63" s="12">
        <v>96</v>
      </c>
      <c r="H63" s="8">
        <v>2.57</v>
      </c>
      <c r="I63" s="12">
        <v>0</v>
      </c>
    </row>
    <row r="64" spans="2:9" ht="15" customHeight="1" x14ac:dyDescent="0.15">
      <c r="B64" t="s">
        <v>153</v>
      </c>
      <c r="C64" s="12">
        <v>119</v>
      </c>
      <c r="D64" s="8">
        <v>1.67</v>
      </c>
      <c r="E64" s="12">
        <v>59</v>
      </c>
      <c r="F64" s="8">
        <v>1.75</v>
      </c>
      <c r="G64" s="12">
        <v>60</v>
      </c>
      <c r="H64" s="8">
        <v>1.61</v>
      </c>
      <c r="I64" s="12">
        <v>0</v>
      </c>
    </row>
    <row r="65" spans="2:9" ht="15" customHeight="1" x14ac:dyDescent="0.15">
      <c r="B65" t="s">
        <v>146</v>
      </c>
      <c r="C65" s="12">
        <v>117</v>
      </c>
      <c r="D65" s="8">
        <v>1.64</v>
      </c>
      <c r="E65" s="12">
        <v>7</v>
      </c>
      <c r="F65" s="8">
        <v>0.21</v>
      </c>
      <c r="G65" s="12">
        <v>110</v>
      </c>
      <c r="H65" s="8">
        <v>2.95</v>
      </c>
      <c r="I65" s="12">
        <v>0</v>
      </c>
    </row>
    <row r="66" spans="2:9" ht="15" customHeight="1" x14ac:dyDescent="0.15">
      <c r="B66" t="s">
        <v>163</v>
      </c>
      <c r="C66" s="12">
        <v>111</v>
      </c>
      <c r="D66" s="8">
        <v>1.56</v>
      </c>
      <c r="E66" s="12">
        <v>101</v>
      </c>
      <c r="F66" s="8">
        <v>2.99</v>
      </c>
      <c r="G66" s="12">
        <v>10</v>
      </c>
      <c r="H66" s="8">
        <v>0.27</v>
      </c>
      <c r="I66" s="12">
        <v>0</v>
      </c>
    </row>
    <row r="67" spans="2:9" ht="15" customHeight="1" x14ac:dyDescent="0.15">
      <c r="B67" t="s">
        <v>139</v>
      </c>
      <c r="C67" s="12">
        <v>109</v>
      </c>
      <c r="D67" s="8">
        <v>1.53</v>
      </c>
      <c r="E67" s="12">
        <v>7</v>
      </c>
      <c r="F67" s="8">
        <v>0.21</v>
      </c>
      <c r="G67" s="12">
        <v>102</v>
      </c>
      <c r="H67" s="8">
        <v>2.73</v>
      </c>
      <c r="I67" s="12">
        <v>0</v>
      </c>
    </row>
    <row r="68" spans="2:9" ht="15" customHeight="1" x14ac:dyDescent="0.15">
      <c r="B68" t="s">
        <v>144</v>
      </c>
      <c r="C68" s="12">
        <v>107</v>
      </c>
      <c r="D68" s="8">
        <v>1.5</v>
      </c>
      <c r="E68" s="12">
        <v>41</v>
      </c>
      <c r="F68" s="8">
        <v>1.21</v>
      </c>
      <c r="G68" s="12">
        <v>66</v>
      </c>
      <c r="H68" s="8">
        <v>1.77</v>
      </c>
      <c r="I68" s="12">
        <v>0</v>
      </c>
    </row>
    <row r="69" spans="2:9" ht="15" customHeight="1" x14ac:dyDescent="0.15">
      <c r="B69" t="s">
        <v>138</v>
      </c>
      <c r="C69" s="12">
        <v>104</v>
      </c>
      <c r="D69" s="8">
        <v>1.46</v>
      </c>
      <c r="E69" s="12">
        <v>13</v>
      </c>
      <c r="F69" s="8">
        <v>0.38</v>
      </c>
      <c r="G69" s="12">
        <v>91</v>
      </c>
      <c r="H69" s="8">
        <v>2.44</v>
      </c>
      <c r="I69" s="12">
        <v>0</v>
      </c>
    </row>
    <row r="70" spans="2:9" ht="15" customHeight="1" x14ac:dyDescent="0.15">
      <c r="B70" t="s">
        <v>140</v>
      </c>
      <c r="C70" s="12">
        <v>104</v>
      </c>
      <c r="D70" s="8">
        <v>1.46</v>
      </c>
      <c r="E70" s="12">
        <v>17</v>
      </c>
      <c r="F70" s="8">
        <v>0.5</v>
      </c>
      <c r="G70" s="12">
        <v>87</v>
      </c>
      <c r="H70" s="8">
        <v>2.33</v>
      </c>
      <c r="I70" s="12">
        <v>0</v>
      </c>
    </row>
    <row r="71" spans="2:9" ht="15" customHeight="1" x14ac:dyDescent="0.15">
      <c r="B71" t="s">
        <v>161</v>
      </c>
      <c r="C71" s="12">
        <v>100</v>
      </c>
      <c r="D71" s="8">
        <v>1.41</v>
      </c>
      <c r="E71" s="12">
        <v>26</v>
      </c>
      <c r="F71" s="8">
        <v>0.77</v>
      </c>
      <c r="G71" s="12">
        <v>74</v>
      </c>
      <c r="H71" s="8">
        <v>1.98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603</v>
      </c>
      <c r="D6" s="8">
        <v>13.65</v>
      </c>
      <c r="E6" s="12">
        <v>141</v>
      </c>
      <c r="F6" s="8">
        <v>6.3</v>
      </c>
      <c r="G6" s="12">
        <v>462</v>
      </c>
      <c r="H6" s="8">
        <v>21.19</v>
      </c>
      <c r="I6" s="12">
        <v>0</v>
      </c>
    </row>
    <row r="7" spans="2:9" ht="15" customHeight="1" x14ac:dyDescent="0.15">
      <c r="B7" t="s">
        <v>64</v>
      </c>
      <c r="C7" s="12">
        <v>346</v>
      </c>
      <c r="D7" s="8">
        <v>7.83</v>
      </c>
      <c r="E7" s="12">
        <v>118</v>
      </c>
      <c r="F7" s="8">
        <v>5.27</v>
      </c>
      <c r="G7" s="12">
        <v>228</v>
      </c>
      <c r="H7" s="8">
        <v>10.46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15">
      <c r="B9" t="s">
        <v>66</v>
      </c>
      <c r="C9" s="12">
        <v>30</v>
      </c>
      <c r="D9" s="8">
        <v>0.68</v>
      </c>
      <c r="E9" s="12">
        <v>0</v>
      </c>
      <c r="F9" s="8">
        <v>0</v>
      </c>
      <c r="G9" s="12">
        <v>30</v>
      </c>
      <c r="H9" s="8">
        <v>1.38</v>
      </c>
      <c r="I9" s="12">
        <v>0</v>
      </c>
    </row>
    <row r="10" spans="2:9" ht="15" customHeight="1" x14ac:dyDescent="0.15">
      <c r="B10" t="s">
        <v>67</v>
      </c>
      <c r="C10" s="12">
        <v>33</v>
      </c>
      <c r="D10" s="8">
        <v>0.75</v>
      </c>
      <c r="E10" s="12">
        <v>1</v>
      </c>
      <c r="F10" s="8">
        <v>0.04</v>
      </c>
      <c r="G10" s="12">
        <v>32</v>
      </c>
      <c r="H10" s="8">
        <v>1.47</v>
      </c>
      <c r="I10" s="12">
        <v>0</v>
      </c>
    </row>
    <row r="11" spans="2:9" ht="15" customHeight="1" x14ac:dyDescent="0.15">
      <c r="B11" t="s">
        <v>68</v>
      </c>
      <c r="C11" s="12">
        <v>1162</v>
      </c>
      <c r="D11" s="8">
        <v>26.3</v>
      </c>
      <c r="E11" s="12">
        <v>511</v>
      </c>
      <c r="F11" s="8">
        <v>22.83</v>
      </c>
      <c r="G11" s="12">
        <v>651</v>
      </c>
      <c r="H11" s="8">
        <v>29.86</v>
      </c>
      <c r="I11" s="12">
        <v>0</v>
      </c>
    </row>
    <row r="12" spans="2:9" ht="15" customHeight="1" x14ac:dyDescent="0.15">
      <c r="B12" t="s">
        <v>69</v>
      </c>
      <c r="C12" s="12">
        <v>33</v>
      </c>
      <c r="D12" s="8">
        <v>0.75</v>
      </c>
      <c r="E12" s="12">
        <v>4</v>
      </c>
      <c r="F12" s="8">
        <v>0.18</v>
      </c>
      <c r="G12" s="12">
        <v>29</v>
      </c>
      <c r="H12" s="8">
        <v>1.33</v>
      </c>
      <c r="I12" s="12">
        <v>0</v>
      </c>
    </row>
    <row r="13" spans="2:9" ht="15" customHeight="1" x14ac:dyDescent="0.15">
      <c r="B13" t="s">
        <v>70</v>
      </c>
      <c r="C13" s="12">
        <v>410</v>
      </c>
      <c r="D13" s="8">
        <v>9.2799999999999994</v>
      </c>
      <c r="E13" s="12">
        <v>150</v>
      </c>
      <c r="F13" s="8">
        <v>6.7</v>
      </c>
      <c r="G13" s="12">
        <v>260</v>
      </c>
      <c r="H13" s="8">
        <v>11.93</v>
      </c>
      <c r="I13" s="12">
        <v>0</v>
      </c>
    </row>
    <row r="14" spans="2:9" ht="15" customHeight="1" x14ac:dyDescent="0.15">
      <c r="B14" t="s">
        <v>71</v>
      </c>
      <c r="C14" s="12">
        <v>216</v>
      </c>
      <c r="D14" s="8">
        <v>4.8899999999999997</v>
      </c>
      <c r="E14" s="12">
        <v>134</v>
      </c>
      <c r="F14" s="8">
        <v>5.99</v>
      </c>
      <c r="G14" s="12">
        <v>82</v>
      </c>
      <c r="H14" s="8">
        <v>3.76</v>
      </c>
      <c r="I14" s="12">
        <v>0</v>
      </c>
    </row>
    <row r="15" spans="2:9" ht="15" customHeight="1" x14ac:dyDescent="0.15">
      <c r="B15" t="s">
        <v>72</v>
      </c>
      <c r="C15" s="12">
        <v>555</v>
      </c>
      <c r="D15" s="8">
        <v>12.56</v>
      </c>
      <c r="E15" s="12">
        <v>460</v>
      </c>
      <c r="F15" s="8">
        <v>20.55</v>
      </c>
      <c r="G15" s="12">
        <v>95</v>
      </c>
      <c r="H15" s="8">
        <v>4.3600000000000003</v>
      </c>
      <c r="I15" s="12">
        <v>0</v>
      </c>
    </row>
    <row r="16" spans="2:9" ht="15" customHeight="1" x14ac:dyDescent="0.15">
      <c r="B16" t="s">
        <v>73</v>
      </c>
      <c r="C16" s="12">
        <v>545</v>
      </c>
      <c r="D16" s="8">
        <v>12.34</v>
      </c>
      <c r="E16" s="12">
        <v>436</v>
      </c>
      <c r="F16" s="8">
        <v>19.48</v>
      </c>
      <c r="G16" s="12">
        <v>109</v>
      </c>
      <c r="H16" s="8">
        <v>5</v>
      </c>
      <c r="I16" s="12">
        <v>0</v>
      </c>
    </row>
    <row r="17" spans="2:9" ht="15" customHeight="1" x14ac:dyDescent="0.15">
      <c r="B17" t="s">
        <v>74</v>
      </c>
      <c r="C17" s="12">
        <v>166</v>
      </c>
      <c r="D17" s="8">
        <v>3.76</v>
      </c>
      <c r="E17" s="12">
        <v>113</v>
      </c>
      <c r="F17" s="8">
        <v>5.05</v>
      </c>
      <c r="G17" s="12">
        <v>53</v>
      </c>
      <c r="H17" s="8">
        <v>2.4300000000000002</v>
      </c>
      <c r="I17" s="12">
        <v>0</v>
      </c>
    </row>
    <row r="18" spans="2:9" ht="15" customHeight="1" x14ac:dyDescent="0.15">
      <c r="B18" t="s">
        <v>75</v>
      </c>
      <c r="C18" s="12">
        <v>193</v>
      </c>
      <c r="D18" s="8">
        <v>4.37</v>
      </c>
      <c r="E18" s="12">
        <v>127</v>
      </c>
      <c r="F18" s="8">
        <v>5.67</v>
      </c>
      <c r="G18" s="12">
        <v>66</v>
      </c>
      <c r="H18" s="8">
        <v>3.03</v>
      </c>
      <c r="I18" s="12">
        <v>0</v>
      </c>
    </row>
    <row r="19" spans="2:9" ht="15" customHeight="1" x14ac:dyDescent="0.15">
      <c r="B19" t="s">
        <v>76</v>
      </c>
      <c r="C19" s="12">
        <v>125</v>
      </c>
      <c r="D19" s="8">
        <v>2.83</v>
      </c>
      <c r="E19" s="12">
        <v>43</v>
      </c>
      <c r="F19" s="8">
        <v>1.92</v>
      </c>
      <c r="G19" s="12">
        <v>82</v>
      </c>
      <c r="H19" s="8">
        <v>3.76</v>
      </c>
      <c r="I19" s="12">
        <v>0</v>
      </c>
    </row>
    <row r="20" spans="2:9" ht="15" customHeight="1" x14ac:dyDescent="0.15">
      <c r="B20" s="9" t="s">
        <v>216</v>
      </c>
      <c r="C20" s="12">
        <f>SUM(LTBL_14206[総数／事業所数])</f>
        <v>4418</v>
      </c>
      <c r="E20" s="12">
        <f>SUBTOTAL(109,LTBL_14206[個人／事業所数])</f>
        <v>2238</v>
      </c>
      <c r="G20" s="12">
        <f>SUBTOTAL(109,LTBL_14206[法人／事業所数])</f>
        <v>2180</v>
      </c>
      <c r="I20" s="12">
        <f>SUBTOTAL(109,LTBL_14206[法人以外の団体／事業所数])</f>
        <v>0</v>
      </c>
    </row>
    <row r="21" spans="2:9" ht="15" customHeight="1" x14ac:dyDescent="0.15">
      <c r="E21" s="11">
        <f>LTBL_14206[[#Totals],[個人／事業所数]]/LTBL_14206[[#Totals],[総数／事業所数]]</f>
        <v>0.50656405613399724</v>
      </c>
      <c r="G21" s="11">
        <f>LTBL_14206[[#Totals],[法人／事業所数]]/LTBL_14206[[#Totals],[総数／事業所数]]</f>
        <v>0.4934359438660027</v>
      </c>
      <c r="I21" s="11">
        <f>LTBL_14206[[#Totals],[法人以外の団体／事業所数]]/LTBL_14206[[#Totals],[総数／事業所数]]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353</v>
      </c>
      <c r="G23" s="10" t="s">
        <v>82</v>
      </c>
      <c r="H23" s="10" t="s">
        <v>354</v>
      </c>
      <c r="I23" s="10" t="s">
        <v>84</v>
      </c>
    </row>
    <row r="24" spans="2:9" ht="15" customHeight="1" x14ac:dyDescent="0.15">
      <c r="B24" t="s">
        <v>218</v>
      </c>
      <c r="C24">
        <v>19</v>
      </c>
      <c r="D24" t="s">
        <v>217</v>
      </c>
      <c r="E24">
        <v>0</v>
      </c>
      <c r="F24" t="s">
        <v>219</v>
      </c>
      <c r="G24">
        <v>19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235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525</v>
      </c>
      <c r="D29" s="8">
        <v>11.88</v>
      </c>
      <c r="E29" s="12">
        <v>447</v>
      </c>
      <c r="F29" s="8">
        <v>19.97</v>
      </c>
      <c r="G29" s="12">
        <v>78</v>
      </c>
      <c r="H29" s="8">
        <v>3.58</v>
      </c>
      <c r="I29" s="12">
        <v>0</v>
      </c>
    </row>
    <row r="30" spans="2:9" ht="15" customHeight="1" x14ac:dyDescent="0.15">
      <c r="B30" t="s">
        <v>100</v>
      </c>
      <c r="C30" s="12">
        <v>473</v>
      </c>
      <c r="D30" s="8">
        <v>10.71</v>
      </c>
      <c r="E30" s="12">
        <v>401</v>
      </c>
      <c r="F30" s="8">
        <v>17.920000000000002</v>
      </c>
      <c r="G30" s="12">
        <v>72</v>
      </c>
      <c r="H30" s="8">
        <v>3.3</v>
      </c>
      <c r="I30" s="12">
        <v>0</v>
      </c>
    </row>
    <row r="31" spans="2:9" ht="15" customHeight="1" x14ac:dyDescent="0.15">
      <c r="B31" t="s">
        <v>94</v>
      </c>
      <c r="C31" s="12">
        <v>345</v>
      </c>
      <c r="D31" s="8">
        <v>7.81</v>
      </c>
      <c r="E31" s="12">
        <v>174</v>
      </c>
      <c r="F31" s="8">
        <v>7.77</v>
      </c>
      <c r="G31" s="12">
        <v>171</v>
      </c>
      <c r="H31" s="8">
        <v>7.84</v>
      </c>
      <c r="I31" s="12">
        <v>0</v>
      </c>
    </row>
    <row r="32" spans="2:9" ht="15" customHeight="1" x14ac:dyDescent="0.15">
      <c r="B32" t="s">
        <v>96</v>
      </c>
      <c r="C32" s="12">
        <v>337</v>
      </c>
      <c r="D32" s="8">
        <v>7.63</v>
      </c>
      <c r="E32" s="12">
        <v>144</v>
      </c>
      <c r="F32" s="8">
        <v>6.43</v>
      </c>
      <c r="G32" s="12">
        <v>193</v>
      </c>
      <c r="H32" s="8">
        <v>8.85</v>
      </c>
      <c r="I32" s="12">
        <v>0</v>
      </c>
    </row>
    <row r="33" spans="2:9" ht="15" customHeight="1" x14ac:dyDescent="0.15">
      <c r="B33" t="s">
        <v>92</v>
      </c>
      <c r="C33" s="12">
        <v>277</v>
      </c>
      <c r="D33" s="8">
        <v>6.27</v>
      </c>
      <c r="E33" s="12">
        <v>155</v>
      </c>
      <c r="F33" s="8">
        <v>6.93</v>
      </c>
      <c r="G33" s="12">
        <v>122</v>
      </c>
      <c r="H33" s="8">
        <v>5.6</v>
      </c>
      <c r="I33" s="12">
        <v>0</v>
      </c>
    </row>
    <row r="34" spans="2:9" ht="15" customHeight="1" x14ac:dyDescent="0.15">
      <c r="B34" t="s">
        <v>85</v>
      </c>
      <c r="C34" s="12">
        <v>264</v>
      </c>
      <c r="D34" s="8">
        <v>5.98</v>
      </c>
      <c r="E34" s="12">
        <v>53</v>
      </c>
      <c r="F34" s="8">
        <v>2.37</v>
      </c>
      <c r="G34" s="12">
        <v>211</v>
      </c>
      <c r="H34" s="8">
        <v>9.68</v>
      </c>
      <c r="I34" s="12">
        <v>0</v>
      </c>
    </row>
    <row r="35" spans="2:9" ht="15" customHeight="1" x14ac:dyDescent="0.15">
      <c r="B35" t="s">
        <v>86</v>
      </c>
      <c r="C35" s="12">
        <v>183</v>
      </c>
      <c r="D35" s="8">
        <v>4.1399999999999997</v>
      </c>
      <c r="E35" s="12">
        <v>64</v>
      </c>
      <c r="F35" s="8">
        <v>2.86</v>
      </c>
      <c r="G35" s="12">
        <v>119</v>
      </c>
      <c r="H35" s="8">
        <v>5.46</v>
      </c>
      <c r="I35" s="12">
        <v>0</v>
      </c>
    </row>
    <row r="36" spans="2:9" ht="15" customHeight="1" x14ac:dyDescent="0.15">
      <c r="B36" t="s">
        <v>102</v>
      </c>
      <c r="C36" s="12">
        <v>166</v>
      </c>
      <c r="D36" s="8">
        <v>3.76</v>
      </c>
      <c r="E36" s="12">
        <v>113</v>
      </c>
      <c r="F36" s="8">
        <v>5.05</v>
      </c>
      <c r="G36" s="12">
        <v>53</v>
      </c>
      <c r="H36" s="8">
        <v>2.4300000000000002</v>
      </c>
      <c r="I36" s="12">
        <v>0</v>
      </c>
    </row>
    <row r="37" spans="2:9" ht="15" customHeight="1" x14ac:dyDescent="0.15">
      <c r="B37" t="s">
        <v>91</v>
      </c>
      <c r="C37" s="12">
        <v>165</v>
      </c>
      <c r="D37" s="8">
        <v>3.73</v>
      </c>
      <c r="E37" s="12">
        <v>68</v>
      </c>
      <c r="F37" s="8">
        <v>3.04</v>
      </c>
      <c r="G37" s="12">
        <v>97</v>
      </c>
      <c r="H37" s="8">
        <v>4.45</v>
      </c>
      <c r="I37" s="12">
        <v>0</v>
      </c>
    </row>
    <row r="38" spans="2:9" ht="15" customHeight="1" x14ac:dyDescent="0.15">
      <c r="B38" t="s">
        <v>87</v>
      </c>
      <c r="C38" s="12">
        <v>156</v>
      </c>
      <c r="D38" s="8">
        <v>3.53</v>
      </c>
      <c r="E38" s="12">
        <v>24</v>
      </c>
      <c r="F38" s="8">
        <v>1.07</v>
      </c>
      <c r="G38" s="12">
        <v>132</v>
      </c>
      <c r="H38" s="8">
        <v>6.06</v>
      </c>
      <c r="I38" s="12">
        <v>0</v>
      </c>
    </row>
    <row r="39" spans="2:9" ht="15" customHeight="1" x14ac:dyDescent="0.15">
      <c r="B39" t="s">
        <v>103</v>
      </c>
      <c r="C39" s="12">
        <v>150</v>
      </c>
      <c r="D39" s="8">
        <v>3.4</v>
      </c>
      <c r="E39" s="12">
        <v>125</v>
      </c>
      <c r="F39" s="8">
        <v>5.59</v>
      </c>
      <c r="G39" s="12">
        <v>25</v>
      </c>
      <c r="H39" s="8">
        <v>1.1499999999999999</v>
      </c>
      <c r="I39" s="12">
        <v>0</v>
      </c>
    </row>
    <row r="40" spans="2:9" ht="15" customHeight="1" x14ac:dyDescent="0.15">
      <c r="B40" t="s">
        <v>93</v>
      </c>
      <c r="C40" s="12">
        <v>129</v>
      </c>
      <c r="D40" s="8">
        <v>2.92</v>
      </c>
      <c r="E40" s="12">
        <v>56</v>
      </c>
      <c r="F40" s="8">
        <v>2.5</v>
      </c>
      <c r="G40" s="12">
        <v>73</v>
      </c>
      <c r="H40" s="8">
        <v>3.35</v>
      </c>
      <c r="I40" s="12">
        <v>0</v>
      </c>
    </row>
    <row r="41" spans="2:9" ht="15" customHeight="1" x14ac:dyDescent="0.15">
      <c r="B41" t="s">
        <v>97</v>
      </c>
      <c r="C41" s="12">
        <v>128</v>
      </c>
      <c r="D41" s="8">
        <v>2.9</v>
      </c>
      <c r="E41" s="12">
        <v>98</v>
      </c>
      <c r="F41" s="8">
        <v>4.38</v>
      </c>
      <c r="G41" s="12">
        <v>30</v>
      </c>
      <c r="H41" s="8">
        <v>1.38</v>
      </c>
      <c r="I41" s="12">
        <v>0</v>
      </c>
    </row>
    <row r="42" spans="2:9" ht="15" customHeight="1" x14ac:dyDescent="0.15">
      <c r="B42" t="s">
        <v>98</v>
      </c>
      <c r="C42" s="12">
        <v>81</v>
      </c>
      <c r="D42" s="8">
        <v>1.83</v>
      </c>
      <c r="E42" s="12">
        <v>36</v>
      </c>
      <c r="F42" s="8">
        <v>1.61</v>
      </c>
      <c r="G42" s="12">
        <v>45</v>
      </c>
      <c r="H42" s="8">
        <v>2.06</v>
      </c>
      <c r="I42" s="12">
        <v>0</v>
      </c>
    </row>
    <row r="43" spans="2:9" ht="15" customHeight="1" x14ac:dyDescent="0.15">
      <c r="B43" t="s">
        <v>107</v>
      </c>
      <c r="C43" s="12">
        <v>69</v>
      </c>
      <c r="D43" s="8">
        <v>1.56</v>
      </c>
      <c r="E43" s="12">
        <v>14</v>
      </c>
      <c r="F43" s="8">
        <v>0.63</v>
      </c>
      <c r="G43" s="12">
        <v>55</v>
      </c>
      <c r="H43" s="8">
        <v>2.52</v>
      </c>
      <c r="I43" s="12">
        <v>0</v>
      </c>
    </row>
    <row r="44" spans="2:9" ht="15" customHeight="1" x14ac:dyDescent="0.15">
      <c r="B44" t="s">
        <v>121</v>
      </c>
      <c r="C44" s="12">
        <v>67</v>
      </c>
      <c r="D44" s="8">
        <v>1.52</v>
      </c>
      <c r="E44" s="12">
        <v>9</v>
      </c>
      <c r="F44" s="8">
        <v>0.4</v>
      </c>
      <c r="G44" s="12">
        <v>58</v>
      </c>
      <c r="H44" s="8">
        <v>2.66</v>
      </c>
      <c r="I44" s="12">
        <v>0</v>
      </c>
    </row>
    <row r="45" spans="2:9" ht="15" customHeight="1" x14ac:dyDescent="0.15">
      <c r="B45" t="s">
        <v>95</v>
      </c>
      <c r="C45" s="12">
        <v>65</v>
      </c>
      <c r="D45" s="8">
        <v>1.47</v>
      </c>
      <c r="E45" s="12">
        <v>6</v>
      </c>
      <c r="F45" s="8">
        <v>0.27</v>
      </c>
      <c r="G45" s="12">
        <v>59</v>
      </c>
      <c r="H45" s="8">
        <v>2.71</v>
      </c>
      <c r="I45" s="12">
        <v>0</v>
      </c>
    </row>
    <row r="46" spans="2:9" ht="15" customHeight="1" x14ac:dyDescent="0.15">
      <c r="B46" t="s">
        <v>106</v>
      </c>
      <c r="C46" s="12">
        <v>59</v>
      </c>
      <c r="D46" s="8">
        <v>1.34</v>
      </c>
      <c r="E46" s="12">
        <v>12</v>
      </c>
      <c r="F46" s="8">
        <v>0.54</v>
      </c>
      <c r="G46" s="12">
        <v>47</v>
      </c>
      <c r="H46" s="8">
        <v>2.16</v>
      </c>
      <c r="I46" s="12">
        <v>0</v>
      </c>
    </row>
    <row r="47" spans="2:9" ht="15" customHeight="1" x14ac:dyDescent="0.15">
      <c r="B47" t="s">
        <v>117</v>
      </c>
      <c r="C47" s="12">
        <v>55</v>
      </c>
      <c r="D47" s="8">
        <v>1.24</v>
      </c>
      <c r="E47" s="12">
        <v>29</v>
      </c>
      <c r="F47" s="8">
        <v>1.3</v>
      </c>
      <c r="G47" s="12">
        <v>26</v>
      </c>
      <c r="H47" s="8">
        <v>1.19</v>
      </c>
      <c r="I47" s="12">
        <v>0</v>
      </c>
    </row>
    <row r="48" spans="2:9" ht="15" customHeight="1" x14ac:dyDescent="0.15">
      <c r="B48" t="s">
        <v>105</v>
      </c>
      <c r="C48" s="12">
        <v>51</v>
      </c>
      <c r="D48" s="8">
        <v>1.1499999999999999</v>
      </c>
      <c r="E48" s="12">
        <v>13</v>
      </c>
      <c r="F48" s="8">
        <v>0.57999999999999996</v>
      </c>
      <c r="G48" s="12">
        <v>38</v>
      </c>
      <c r="H48" s="8">
        <v>1.74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240</v>
      </c>
      <c r="D52" s="8">
        <v>5.43</v>
      </c>
      <c r="E52" s="12">
        <v>212</v>
      </c>
      <c r="F52" s="8">
        <v>9.4700000000000006</v>
      </c>
      <c r="G52" s="12">
        <v>28</v>
      </c>
      <c r="H52" s="8">
        <v>1.28</v>
      </c>
      <c r="I52" s="12">
        <v>0</v>
      </c>
    </row>
    <row r="53" spans="2:9" ht="15" customHeight="1" x14ac:dyDescent="0.15">
      <c r="B53" t="s">
        <v>148</v>
      </c>
      <c r="C53" s="12">
        <v>157</v>
      </c>
      <c r="D53" s="8">
        <v>3.55</v>
      </c>
      <c r="E53" s="12">
        <v>99</v>
      </c>
      <c r="F53" s="8">
        <v>4.42</v>
      </c>
      <c r="G53" s="12">
        <v>58</v>
      </c>
      <c r="H53" s="8">
        <v>2.66</v>
      </c>
      <c r="I53" s="12">
        <v>0</v>
      </c>
    </row>
    <row r="54" spans="2:9" ht="15" customHeight="1" x14ac:dyDescent="0.15">
      <c r="B54" t="s">
        <v>151</v>
      </c>
      <c r="C54" s="12">
        <v>145</v>
      </c>
      <c r="D54" s="8">
        <v>3.28</v>
      </c>
      <c r="E54" s="12">
        <v>135</v>
      </c>
      <c r="F54" s="8">
        <v>6.03</v>
      </c>
      <c r="G54" s="12">
        <v>10</v>
      </c>
      <c r="H54" s="8">
        <v>0.46</v>
      </c>
      <c r="I54" s="12">
        <v>0</v>
      </c>
    </row>
    <row r="55" spans="2:9" ht="15" customHeight="1" x14ac:dyDescent="0.15">
      <c r="B55" t="s">
        <v>152</v>
      </c>
      <c r="C55" s="12">
        <v>124</v>
      </c>
      <c r="D55" s="8">
        <v>2.81</v>
      </c>
      <c r="E55" s="12">
        <v>117</v>
      </c>
      <c r="F55" s="8">
        <v>5.23</v>
      </c>
      <c r="G55" s="12">
        <v>7</v>
      </c>
      <c r="H55" s="8">
        <v>0.32</v>
      </c>
      <c r="I55" s="12">
        <v>0</v>
      </c>
    </row>
    <row r="56" spans="2:9" ht="15" customHeight="1" x14ac:dyDescent="0.15">
      <c r="B56" t="s">
        <v>154</v>
      </c>
      <c r="C56" s="12">
        <v>123</v>
      </c>
      <c r="D56" s="8">
        <v>2.78</v>
      </c>
      <c r="E56" s="12">
        <v>117</v>
      </c>
      <c r="F56" s="8">
        <v>5.23</v>
      </c>
      <c r="G56" s="12">
        <v>6</v>
      </c>
      <c r="H56" s="8">
        <v>0.28000000000000003</v>
      </c>
      <c r="I56" s="12">
        <v>0</v>
      </c>
    </row>
    <row r="57" spans="2:9" ht="15" customHeight="1" x14ac:dyDescent="0.15">
      <c r="B57" t="s">
        <v>150</v>
      </c>
      <c r="C57" s="12">
        <v>116</v>
      </c>
      <c r="D57" s="8">
        <v>2.63</v>
      </c>
      <c r="E57" s="12">
        <v>97</v>
      </c>
      <c r="F57" s="8">
        <v>4.33</v>
      </c>
      <c r="G57" s="12">
        <v>19</v>
      </c>
      <c r="H57" s="8">
        <v>0.87</v>
      </c>
      <c r="I57" s="12">
        <v>0</v>
      </c>
    </row>
    <row r="58" spans="2:9" ht="15" customHeight="1" x14ac:dyDescent="0.15">
      <c r="B58" t="s">
        <v>145</v>
      </c>
      <c r="C58" s="12">
        <v>115</v>
      </c>
      <c r="D58" s="8">
        <v>2.6</v>
      </c>
      <c r="E58" s="12">
        <v>69</v>
      </c>
      <c r="F58" s="8">
        <v>3.08</v>
      </c>
      <c r="G58" s="12">
        <v>46</v>
      </c>
      <c r="H58" s="8">
        <v>2.11</v>
      </c>
      <c r="I58" s="12">
        <v>0</v>
      </c>
    </row>
    <row r="59" spans="2:9" ht="15" customHeight="1" x14ac:dyDescent="0.15">
      <c r="B59" t="s">
        <v>156</v>
      </c>
      <c r="C59" s="12">
        <v>108</v>
      </c>
      <c r="D59" s="8">
        <v>2.44</v>
      </c>
      <c r="E59" s="12">
        <v>82</v>
      </c>
      <c r="F59" s="8">
        <v>3.66</v>
      </c>
      <c r="G59" s="12">
        <v>26</v>
      </c>
      <c r="H59" s="8">
        <v>1.19</v>
      </c>
      <c r="I59" s="12">
        <v>0</v>
      </c>
    </row>
    <row r="60" spans="2:9" ht="15" customHeight="1" x14ac:dyDescent="0.15">
      <c r="B60" t="s">
        <v>157</v>
      </c>
      <c r="C60" s="12">
        <v>101</v>
      </c>
      <c r="D60" s="8">
        <v>2.29</v>
      </c>
      <c r="E60" s="12">
        <v>86</v>
      </c>
      <c r="F60" s="8">
        <v>3.84</v>
      </c>
      <c r="G60" s="12">
        <v>15</v>
      </c>
      <c r="H60" s="8">
        <v>0.69</v>
      </c>
      <c r="I60" s="12">
        <v>0</v>
      </c>
    </row>
    <row r="61" spans="2:9" ht="15" customHeight="1" x14ac:dyDescent="0.15">
      <c r="B61" t="s">
        <v>138</v>
      </c>
      <c r="C61" s="12">
        <v>94</v>
      </c>
      <c r="D61" s="8">
        <v>2.13</v>
      </c>
      <c r="E61" s="12">
        <v>12</v>
      </c>
      <c r="F61" s="8">
        <v>0.54</v>
      </c>
      <c r="G61" s="12">
        <v>82</v>
      </c>
      <c r="H61" s="8">
        <v>3.76</v>
      </c>
      <c r="I61" s="12">
        <v>0</v>
      </c>
    </row>
    <row r="62" spans="2:9" ht="15" customHeight="1" x14ac:dyDescent="0.15">
      <c r="B62" t="s">
        <v>143</v>
      </c>
      <c r="C62" s="12">
        <v>84</v>
      </c>
      <c r="D62" s="8">
        <v>1.9</v>
      </c>
      <c r="E62" s="12">
        <v>41</v>
      </c>
      <c r="F62" s="8">
        <v>1.83</v>
      </c>
      <c r="G62" s="12">
        <v>43</v>
      </c>
      <c r="H62" s="8">
        <v>1.97</v>
      </c>
      <c r="I62" s="12">
        <v>0</v>
      </c>
    </row>
    <row r="63" spans="2:9" ht="15" customHeight="1" x14ac:dyDescent="0.15">
      <c r="B63" t="s">
        <v>147</v>
      </c>
      <c r="C63" s="12">
        <v>83</v>
      </c>
      <c r="D63" s="8">
        <v>1.88</v>
      </c>
      <c r="E63" s="12">
        <v>15</v>
      </c>
      <c r="F63" s="8">
        <v>0.67</v>
      </c>
      <c r="G63" s="12">
        <v>68</v>
      </c>
      <c r="H63" s="8">
        <v>3.12</v>
      </c>
      <c r="I63" s="12">
        <v>0</v>
      </c>
    </row>
    <row r="64" spans="2:9" ht="15" customHeight="1" x14ac:dyDescent="0.15">
      <c r="B64" t="s">
        <v>153</v>
      </c>
      <c r="C64" s="12">
        <v>78</v>
      </c>
      <c r="D64" s="8">
        <v>1.77</v>
      </c>
      <c r="E64" s="12">
        <v>52</v>
      </c>
      <c r="F64" s="8">
        <v>2.3199999999999998</v>
      </c>
      <c r="G64" s="12">
        <v>26</v>
      </c>
      <c r="H64" s="8">
        <v>1.19</v>
      </c>
      <c r="I64" s="12">
        <v>0</v>
      </c>
    </row>
    <row r="65" spans="2:9" ht="15" customHeight="1" x14ac:dyDescent="0.15">
      <c r="B65" t="s">
        <v>161</v>
      </c>
      <c r="C65" s="12">
        <v>74</v>
      </c>
      <c r="D65" s="8">
        <v>1.67</v>
      </c>
      <c r="E65" s="12">
        <v>25</v>
      </c>
      <c r="F65" s="8">
        <v>1.1200000000000001</v>
      </c>
      <c r="G65" s="12">
        <v>49</v>
      </c>
      <c r="H65" s="8">
        <v>2.25</v>
      </c>
      <c r="I65" s="12">
        <v>0</v>
      </c>
    </row>
    <row r="66" spans="2:9" ht="15" customHeight="1" x14ac:dyDescent="0.15">
      <c r="B66" t="s">
        <v>142</v>
      </c>
      <c r="C66" s="12">
        <v>72</v>
      </c>
      <c r="D66" s="8">
        <v>1.63</v>
      </c>
      <c r="E66" s="12">
        <v>34</v>
      </c>
      <c r="F66" s="8">
        <v>1.52</v>
      </c>
      <c r="G66" s="12">
        <v>38</v>
      </c>
      <c r="H66" s="8">
        <v>1.74</v>
      </c>
      <c r="I66" s="12">
        <v>0</v>
      </c>
    </row>
    <row r="67" spans="2:9" ht="15" customHeight="1" x14ac:dyDescent="0.15">
      <c r="B67" t="s">
        <v>144</v>
      </c>
      <c r="C67" s="12">
        <v>71</v>
      </c>
      <c r="D67" s="8">
        <v>1.61</v>
      </c>
      <c r="E67" s="12">
        <v>18</v>
      </c>
      <c r="F67" s="8">
        <v>0.8</v>
      </c>
      <c r="G67" s="12">
        <v>53</v>
      </c>
      <c r="H67" s="8">
        <v>2.4300000000000002</v>
      </c>
      <c r="I67" s="12">
        <v>0</v>
      </c>
    </row>
    <row r="68" spans="2:9" ht="15" customHeight="1" x14ac:dyDescent="0.15">
      <c r="B68" t="s">
        <v>140</v>
      </c>
      <c r="C68" s="12">
        <v>68</v>
      </c>
      <c r="D68" s="8">
        <v>1.54</v>
      </c>
      <c r="E68" s="12">
        <v>14</v>
      </c>
      <c r="F68" s="8">
        <v>0.63</v>
      </c>
      <c r="G68" s="12">
        <v>54</v>
      </c>
      <c r="H68" s="8">
        <v>2.48</v>
      </c>
      <c r="I68" s="12">
        <v>0</v>
      </c>
    </row>
    <row r="69" spans="2:9" ht="15" customHeight="1" x14ac:dyDescent="0.15">
      <c r="B69" t="s">
        <v>141</v>
      </c>
      <c r="C69" s="12">
        <v>67</v>
      </c>
      <c r="D69" s="8">
        <v>1.52</v>
      </c>
      <c r="E69" s="12">
        <v>10</v>
      </c>
      <c r="F69" s="8">
        <v>0.45</v>
      </c>
      <c r="G69" s="12">
        <v>57</v>
      </c>
      <c r="H69" s="8">
        <v>2.61</v>
      </c>
      <c r="I69" s="12">
        <v>0</v>
      </c>
    </row>
    <row r="70" spans="2:9" ht="15" customHeight="1" x14ac:dyDescent="0.15">
      <c r="B70" t="s">
        <v>139</v>
      </c>
      <c r="C70" s="12">
        <v>63</v>
      </c>
      <c r="D70" s="8">
        <v>1.43</v>
      </c>
      <c r="E70" s="12">
        <v>10</v>
      </c>
      <c r="F70" s="8">
        <v>0.45</v>
      </c>
      <c r="G70" s="12">
        <v>53</v>
      </c>
      <c r="H70" s="8">
        <v>2.4300000000000002</v>
      </c>
      <c r="I70" s="12">
        <v>0</v>
      </c>
    </row>
    <row r="71" spans="2:9" ht="15" customHeight="1" x14ac:dyDescent="0.15">
      <c r="B71" t="s">
        <v>166</v>
      </c>
      <c r="C71" s="12">
        <v>62</v>
      </c>
      <c r="D71" s="8">
        <v>1.4</v>
      </c>
      <c r="E71" s="12">
        <v>32</v>
      </c>
      <c r="F71" s="8">
        <v>1.43</v>
      </c>
      <c r="G71" s="12">
        <v>30</v>
      </c>
      <c r="H71" s="8">
        <v>1.38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355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554</v>
      </c>
      <c r="D6" s="8">
        <v>13.93</v>
      </c>
      <c r="E6" s="12">
        <v>119</v>
      </c>
      <c r="F6" s="8">
        <v>5.48</v>
      </c>
      <c r="G6" s="12">
        <v>435</v>
      </c>
      <c r="H6" s="8">
        <v>24.18</v>
      </c>
      <c r="I6" s="12">
        <v>0</v>
      </c>
    </row>
    <row r="7" spans="2:9" ht="15" customHeight="1" x14ac:dyDescent="0.15">
      <c r="B7" t="s">
        <v>64</v>
      </c>
      <c r="C7" s="12">
        <v>184</v>
      </c>
      <c r="D7" s="8">
        <v>4.63</v>
      </c>
      <c r="E7" s="12">
        <v>52</v>
      </c>
      <c r="F7" s="8">
        <v>2.4</v>
      </c>
      <c r="G7" s="12">
        <v>132</v>
      </c>
      <c r="H7" s="8">
        <v>7.34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42</v>
      </c>
      <c r="D9" s="8">
        <v>1.06</v>
      </c>
      <c r="E9" s="12">
        <v>2</v>
      </c>
      <c r="F9" s="8">
        <v>0.09</v>
      </c>
      <c r="G9" s="12">
        <v>40</v>
      </c>
      <c r="H9" s="8">
        <v>2.2200000000000002</v>
      </c>
      <c r="I9" s="12">
        <v>0</v>
      </c>
    </row>
    <row r="10" spans="2:9" ht="15" customHeight="1" x14ac:dyDescent="0.15">
      <c r="B10" t="s">
        <v>67</v>
      </c>
      <c r="C10" s="12">
        <v>24</v>
      </c>
      <c r="D10" s="8">
        <v>0.6</v>
      </c>
      <c r="E10" s="12">
        <v>5</v>
      </c>
      <c r="F10" s="8">
        <v>0.23</v>
      </c>
      <c r="G10" s="12">
        <v>19</v>
      </c>
      <c r="H10" s="8">
        <v>1.06</v>
      </c>
      <c r="I10" s="12">
        <v>0</v>
      </c>
    </row>
    <row r="11" spans="2:9" ht="15" customHeight="1" x14ac:dyDescent="0.15">
      <c r="B11" t="s">
        <v>68</v>
      </c>
      <c r="C11" s="12">
        <v>811</v>
      </c>
      <c r="D11" s="8">
        <v>20.399999999999999</v>
      </c>
      <c r="E11" s="12">
        <v>375</v>
      </c>
      <c r="F11" s="8">
        <v>17.27</v>
      </c>
      <c r="G11" s="12">
        <v>435</v>
      </c>
      <c r="H11" s="8">
        <v>24.18</v>
      </c>
      <c r="I11" s="12">
        <v>1</v>
      </c>
    </row>
    <row r="12" spans="2:9" ht="15" customHeight="1" x14ac:dyDescent="0.15">
      <c r="B12" t="s">
        <v>69</v>
      </c>
      <c r="C12" s="12">
        <v>23</v>
      </c>
      <c r="D12" s="8">
        <v>0.57999999999999996</v>
      </c>
      <c r="E12" s="12">
        <v>4</v>
      </c>
      <c r="F12" s="8">
        <v>0.18</v>
      </c>
      <c r="G12" s="12">
        <v>19</v>
      </c>
      <c r="H12" s="8">
        <v>1.06</v>
      </c>
      <c r="I12" s="12">
        <v>0</v>
      </c>
    </row>
    <row r="13" spans="2:9" ht="15" customHeight="1" x14ac:dyDescent="0.15">
      <c r="B13" t="s">
        <v>70</v>
      </c>
      <c r="C13" s="12">
        <v>594</v>
      </c>
      <c r="D13" s="8">
        <v>14.94</v>
      </c>
      <c r="E13" s="12">
        <v>376</v>
      </c>
      <c r="F13" s="8">
        <v>17.32</v>
      </c>
      <c r="G13" s="12">
        <v>218</v>
      </c>
      <c r="H13" s="8">
        <v>12.12</v>
      </c>
      <c r="I13" s="12">
        <v>0</v>
      </c>
    </row>
    <row r="14" spans="2:9" ht="15" customHeight="1" x14ac:dyDescent="0.15">
      <c r="B14" t="s">
        <v>71</v>
      </c>
      <c r="C14" s="12">
        <v>197</v>
      </c>
      <c r="D14" s="8">
        <v>4.95</v>
      </c>
      <c r="E14" s="12">
        <v>84</v>
      </c>
      <c r="F14" s="8">
        <v>3.87</v>
      </c>
      <c r="G14" s="12">
        <v>113</v>
      </c>
      <c r="H14" s="8">
        <v>6.28</v>
      </c>
      <c r="I14" s="12">
        <v>0</v>
      </c>
    </row>
    <row r="15" spans="2:9" ht="15" customHeight="1" x14ac:dyDescent="0.15">
      <c r="B15" t="s">
        <v>72</v>
      </c>
      <c r="C15" s="12">
        <v>518</v>
      </c>
      <c r="D15" s="8">
        <v>13.03</v>
      </c>
      <c r="E15" s="12">
        <v>433</v>
      </c>
      <c r="F15" s="8">
        <v>19.940000000000001</v>
      </c>
      <c r="G15" s="12">
        <v>84</v>
      </c>
      <c r="H15" s="8">
        <v>4.67</v>
      </c>
      <c r="I15" s="12">
        <v>1</v>
      </c>
    </row>
    <row r="16" spans="2:9" ht="15" customHeight="1" x14ac:dyDescent="0.15">
      <c r="B16" t="s">
        <v>73</v>
      </c>
      <c r="C16" s="12">
        <v>510</v>
      </c>
      <c r="D16" s="8">
        <v>12.83</v>
      </c>
      <c r="E16" s="12">
        <v>391</v>
      </c>
      <c r="F16" s="8">
        <v>18.010000000000002</v>
      </c>
      <c r="G16" s="12">
        <v>118</v>
      </c>
      <c r="H16" s="8">
        <v>6.56</v>
      </c>
      <c r="I16" s="12">
        <v>1</v>
      </c>
    </row>
    <row r="17" spans="2:9" ht="15" customHeight="1" x14ac:dyDescent="0.15">
      <c r="B17" t="s">
        <v>74</v>
      </c>
      <c r="C17" s="12">
        <v>184</v>
      </c>
      <c r="D17" s="8">
        <v>4.63</v>
      </c>
      <c r="E17" s="12">
        <v>135</v>
      </c>
      <c r="F17" s="8">
        <v>6.22</v>
      </c>
      <c r="G17" s="12">
        <v>48</v>
      </c>
      <c r="H17" s="8">
        <v>2.67</v>
      </c>
      <c r="I17" s="12">
        <v>1</v>
      </c>
    </row>
    <row r="18" spans="2:9" ht="15" customHeight="1" x14ac:dyDescent="0.15">
      <c r="B18" t="s">
        <v>75</v>
      </c>
      <c r="C18" s="12">
        <v>248</v>
      </c>
      <c r="D18" s="8">
        <v>6.24</v>
      </c>
      <c r="E18" s="12">
        <v>172</v>
      </c>
      <c r="F18" s="8">
        <v>7.92</v>
      </c>
      <c r="G18" s="12">
        <v>74</v>
      </c>
      <c r="H18" s="8">
        <v>4.1100000000000003</v>
      </c>
      <c r="I18" s="12">
        <v>2</v>
      </c>
    </row>
    <row r="19" spans="2:9" ht="15" customHeight="1" x14ac:dyDescent="0.15">
      <c r="B19" t="s">
        <v>76</v>
      </c>
      <c r="C19" s="12">
        <v>87</v>
      </c>
      <c r="D19" s="8">
        <v>2.19</v>
      </c>
      <c r="E19" s="12">
        <v>23</v>
      </c>
      <c r="F19" s="8">
        <v>1.06</v>
      </c>
      <c r="G19" s="12">
        <v>64</v>
      </c>
      <c r="H19" s="8">
        <v>3.56</v>
      </c>
      <c r="I19" s="12">
        <v>0</v>
      </c>
    </row>
    <row r="20" spans="2:9" ht="15" customHeight="1" x14ac:dyDescent="0.15">
      <c r="B20" s="9" t="s">
        <v>216</v>
      </c>
      <c r="C20" s="12">
        <f>SUM(LTBL_14207[総数／事業所数])</f>
        <v>3976</v>
      </c>
      <c r="E20" s="12">
        <f>SUBTOTAL(109,LTBL_14207[個人／事業所数])</f>
        <v>2171</v>
      </c>
      <c r="G20" s="12">
        <f>SUBTOTAL(109,LTBL_14207[法人／事業所数])</f>
        <v>1799</v>
      </c>
      <c r="I20" s="12">
        <f>SUBTOTAL(109,LTBL_14207[法人以外の団体／事業所数])</f>
        <v>6</v>
      </c>
    </row>
    <row r="21" spans="2:9" ht="15" customHeight="1" x14ac:dyDescent="0.15">
      <c r="E21" s="11">
        <f>LTBL_14207[[#Totals],[個人／事業所数]]/LTBL_14207[[#Totals],[総数／事業所数]]</f>
        <v>0.54602615694164991</v>
      </c>
      <c r="G21" s="11">
        <f>LTBL_14207[[#Totals],[法人／事業所数]]/LTBL_14207[[#Totals],[総数／事業所数]]</f>
        <v>0.45246478873239437</v>
      </c>
      <c r="I21" s="11">
        <f>LTBL_14207[[#Totals],[法人以外の団体／事業所数]]/LTBL_14207[[#Totals],[総数／事業所数]]</f>
        <v>1.5090543259557343E-3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356</v>
      </c>
      <c r="I23" s="10" t="s">
        <v>84</v>
      </c>
    </row>
    <row r="24" spans="2:9" ht="15" customHeight="1" x14ac:dyDescent="0.15">
      <c r="B24" t="s">
        <v>218</v>
      </c>
      <c r="C24">
        <v>13</v>
      </c>
      <c r="D24" t="s">
        <v>217</v>
      </c>
      <c r="E24">
        <v>0</v>
      </c>
      <c r="F24" t="s">
        <v>219</v>
      </c>
      <c r="G24">
        <v>13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531</v>
      </c>
      <c r="D29" s="8">
        <v>13.36</v>
      </c>
      <c r="E29" s="12">
        <v>371</v>
      </c>
      <c r="F29" s="8">
        <v>17.09</v>
      </c>
      <c r="G29" s="12">
        <v>160</v>
      </c>
      <c r="H29" s="8">
        <v>8.89</v>
      </c>
      <c r="I29" s="12">
        <v>0</v>
      </c>
    </row>
    <row r="30" spans="2:9" ht="15" customHeight="1" x14ac:dyDescent="0.15">
      <c r="B30" t="s">
        <v>99</v>
      </c>
      <c r="C30" s="12">
        <v>493</v>
      </c>
      <c r="D30" s="8">
        <v>12.4</v>
      </c>
      <c r="E30" s="12">
        <v>422</v>
      </c>
      <c r="F30" s="8">
        <v>19.440000000000001</v>
      </c>
      <c r="G30" s="12">
        <v>70</v>
      </c>
      <c r="H30" s="8">
        <v>3.89</v>
      </c>
      <c r="I30" s="12">
        <v>1</v>
      </c>
    </row>
    <row r="31" spans="2:9" ht="15" customHeight="1" x14ac:dyDescent="0.15">
      <c r="B31" t="s">
        <v>100</v>
      </c>
      <c r="C31" s="12">
        <v>421</v>
      </c>
      <c r="D31" s="8">
        <v>10.59</v>
      </c>
      <c r="E31" s="12">
        <v>343</v>
      </c>
      <c r="F31" s="8">
        <v>15.8</v>
      </c>
      <c r="G31" s="12">
        <v>77</v>
      </c>
      <c r="H31" s="8">
        <v>4.28</v>
      </c>
      <c r="I31" s="12">
        <v>1</v>
      </c>
    </row>
    <row r="32" spans="2:9" ht="15" customHeight="1" x14ac:dyDescent="0.15">
      <c r="B32" t="s">
        <v>94</v>
      </c>
      <c r="C32" s="12">
        <v>261</v>
      </c>
      <c r="D32" s="8">
        <v>6.56</v>
      </c>
      <c r="E32" s="12">
        <v>123</v>
      </c>
      <c r="F32" s="8">
        <v>5.67</v>
      </c>
      <c r="G32" s="12">
        <v>138</v>
      </c>
      <c r="H32" s="8">
        <v>7.67</v>
      </c>
      <c r="I32" s="12">
        <v>0</v>
      </c>
    </row>
    <row r="33" spans="2:9" ht="15" customHeight="1" x14ac:dyDescent="0.15">
      <c r="B33" t="s">
        <v>85</v>
      </c>
      <c r="C33" s="12">
        <v>220</v>
      </c>
      <c r="D33" s="8">
        <v>5.53</v>
      </c>
      <c r="E33" s="12">
        <v>42</v>
      </c>
      <c r="F33" s="8">
        <v>1.93</v>
      </c>
      <c r="G33" s="12">
        <v>178</v>
      </c>
      <c r="H33" s="8">
        <v>9.89</v>
      </c>
      <c r="I33" s="12">
        <v>0</v>
      </c>
    </row>
    <row r="34" spans="2:9" ht="15" customHeight="1" x14ac:dyDescent="0.15">
      <c r="B34" t="s">
        <v>86</v>
      </c>
      <c r="C34" s="12">
        <v>203</v>
      </c>
      <c r="D34" s="8">
        <v>5.1100000000000003</v>
      </c>
      <c r="E34" s="12">
        <v>56</v>
      </c>
      <c r="F34" s="8">
        <v>2.58</v>
      </c>
      <c r="G34" s="12">
        <v>147</v>
      </c>
      <c r="H34" s="8">
        <v>8.17</v>
      </c>
      <c r="I34" s="12">
        <v>0</v>
      </c>
    </row>
    <row r="35" spans="2:9" ht="15" customHeight="1" x14ac:dyDescent="0.15">
      <c r="B35" t="s">
        <v>103</v>
      </c>
      <c r="C35" s="12">
        <v>203</v>
      </c>
      <c r="D35" s="8">
        <v>5.1100000000000003</v>
      </c>
      <c r="E35" s="12">
        <v>171</v>
      </c>
      <c r="F35" s="8">
        <v>7.88</v>
      </c>
      <c r="G35" s="12">
        <v>32</v>
      </c>
      <c r="H35" s="8">
        <v>1.78</v>
      </c>
      <c r="I35" s="12">
        <v>0</v>
      </c>
    </row>
    <row r="36" spans="2:9" ht="15" customHeight="1" x14ac:dyDescent="0.15">
      <c r="B36" t="s">
        <v>102</v>
      </c>
      <c r="C36" s="12">
        <v>184</v>
      </c>
      <c r="D36" s="8">
        <v>4.63</v>
      </c>
      <c r="E36" s="12">
        <v>135</v>
      </c>
      <c r="F36" s="8">
        <v>6.22</v>
      </c>
      <c r="G36" s="12">
        <v>48</v>
      </c>
      <c r="H36" s="8">
        <v>2.67</v>
      </c>
      <c r="I36" s="12">
        <v>1</v>
      </c>
    </row>
    <row r="37" spans="2:9" ht="15" customHeight="1" x14ac:dyDescent="0.15">
      <c r="B37" t="s">
        <v>92</v>
      </c>
      <c r="C37" s="12">
        <v>171</v>
      </c>
      <c r="D37" s="8">
        <v>4.3</v>
      </c>
      <c r="E37" s="12">
        <v>115</v>
      </c>
      <c r="F37" s="8">
        <v>5.3</v>
      </c>
      <c r="G37" s="12">
        <v>55</v>
      </c>
      <c r="H37" s="8">
        <v>3.06</v>
      </c>
      <c r="I37" s="12">
        <v>1</v>
      </c>
    </row>
    <row r="38" spans="2:9" ht="15" customHeight="1" x14ac:dyDescent="0.15">
      <c r="B38" t="s">
        <v>87</v>
      </c>
      <c r="C38" s="12">
        <v>131</v>
      </c>
      <c r="D38" s="8">
        <v>3.29</v>
      </c>
      <c r="E38" s="12">
        <v>21</v>
      </c>
      <c r="F38" s="8">
        <v>0.97</v>
      </c>
      <c r="G38" s="12">
        <v>110</v>
      </c>
      <c r="H38" s="8">
        <v>6.11</v>
      </c>
      <c r="I38" s="12">
        <v>0</v>
      </c>
    </row>
    <row r="39" spans="2:9" ht="15" customHeight="1" x14ac:dyDescent="0.15">
      <c r="B39" t="s">
        <v>91</v>
      </c>
      <c r="C39" s="12">
        <v>117</v>
      </c>
      <c r="D39" s="8">
        <v>2.94</v>
      </c>
      <c r="E39" s="12">
        <v>56</v>
      </c>
      <c r="F39" s="8">
        <v>2.58</v>
      </c>
      <c r="G39" s="12">
        <v>61</v>
      </c>
      <c r="H39" s="8">
        <v>3.39</v>
      </c>
      <c r="I39" s="12">
        <v>0</v>
      </c>
    </row>
    <row r="40" spans="2:9" ht="15" customHeight="1" x14ac:dyDescent="0.15">
      <c r="B40" t="s">
        <v>93</v>
      </c>
      <c r="C40" s="12">
        <v>100</v>
      </c>
      <c r="D40" s="8">
        <v>2.52</v>
      </c>
      <c r="E40" s="12">
        <v>54</v>
      </c>
      <c r="F40" s="8">
        <v>2.4900000000000002</v>
      </c>
      <c r="G40" s="12">
        <v>46</v>
      </c>
      <c r="H40" s="8">
        <v>2.56</v>
      </c>
      <c r="I40" s="12">
        <v>0</v>
      </c>
    </row>
    <row r="41" spans="2:9" ht="15" customHeight="1" x14ac:dyDescent="0.15">
      <c r="B41" t="s">
        <v>98</v>
      </c>
      <c r="C41" s="12">
        <v>98</v>
      </c>
      <c r="D41" s="8">
        <v>2.46</v>
      </c>
      <c r="E41" s="12">
        <v>27</v>
      </c>
      <c r="F41" s="8">
        <v>1.24</v>
      </c>
      <c r="G41" s="12">
        <v>71</v>
      </c>
      <c r="H41" s="8">
        <v>3.95</v>
      </c>
      <c r="I41" s="12">
        <v>0</v>
      </c>
    </row>
    <row r="42" spans="2:9" ht="15" customHeight="1" x14ac:dyDescent="0.15">
      <c r="B42" t="s">
        <v>97</v>
      </c>
      <c r="C42" s="12">
        <v>92</v>
      </c>
      <c r="D42" s="8">
        <v>2.31</v>
      </c>
      <c r="E42" s="12">
        <v>57</v>
      </c>
      <c r="F42" s="8">
        <v>2.63</v>
      </c>
      <c r="G42" s="12">
        <v>35</v>
      </c>
      <c r="H42" s="8">
        <v>1.95</v>
      </c>
      <c r="I42" s="12">
        <v>0</v>
      </c>
    </row>
    <row r="43" spans="2:9" ht="15" customHeight="1" x14ac:dyDescent="0.15">
      <c r="B43" t="s">
        <v>95</v>
      </c>
      <c r="C43" s="12">
        <v>56</v>
      </c>
      <c r="D43" s="8">
        <v>1.41</v>
      </c>
      <c r="E43" s="12">
        <v>4</v>
      </c>
      <c r="F43" s="8">
        <v>0.18</v>
      </c>
      <c r="G43" s="12">
        <v>52</v>
      </c>
      <c r="H43" s="8">
        <v>2.89</v>
      </c>
      <c r="I43" s="12">
        <v>0</v>
      </c>
    </row>
    <row r="44" spans="2:9" ht="15" customHeight="1" x14ac:dyDescent="0.15">
      <c r="B44" t="s">
        <v>101</v>
      </c>
      <c r="C44" s="12">
        <v>55</v>
      </c>
      <c r="D44" s="8">
        <v>1.38</v>
      </c>
      <c r="E44" s="12">
        <v>35</v>
      </c>
      <c r="F44" s="8">
        <v>1.61</v>
      </c>
      <c r="G44" s="12">
        <v>20</v>
      </c>
      <c r="H44" s="8">
        <v>1.1100000000000001</v>
      </c>
      <c r="I44" s="12">
        <v>0</v>
      </c>
    </row>
    <row r="45" spans="2:9" ht="15" customHeight="1" x14ac:dyDescent="0.15">
      <c r="B45" t="s">
        <v>108</v>
      </c>
      <c r="C45" s="12">
        <v>45</v>
      </c>
      <c r="D45" s="8">
        <v>1.1299999999999999</v>
      </c>
      <c r="E45" s="12">
        <v>1</v>
      </c>
      <c r="F45" s="8">
        <v>0.05</v>
      </c>
      <c r="G45" s="12">
        <v>42</v>
      </c>
      <c r="H45" s="8">
        <v>2.33</v>
      </c>
      <c r="I45" s="12">
        <v>2</v>
      </c>
    </row>
    <row r="46" spans="2:9" ht="15" customHeight="1" x14ac:dyDescent="0.15">
      <c r="B46" t="s">
        <v>90</v>
      </c>
      <c r="C46" s="12">
        <v>34</v>
      </c>
      <c r="D46" s="8">
        <v>0.86</v>
      </c>
      <c r="E46" s="12">
        <v>4</v>
      </c>
      <c r="F46" s="8">
        <v>0.18</v>
      </c>
      <c r="G46" s="12">
        <v>30</v>
      </c>
      <c r="H46" s="8">
        <v>1.67</v>
      </c>
      <c r="I46" s="12">
        <v>0</v>
      </c>
    </row>
    <row r="47" spans="2:9" ht="15" customHeight="1" x14ac:dyDescent="0.15">
      <c r="B47" t="s">
        <v>116</v>
      </c>
      <c r="C47" s="12">
        <v>34</v>
      </c>
      <c r="D47" s="8">
        <v>0.86</v>
      </c>
      <c r="E47" s="12">
        <v>13</v>
      </c>
      <c r="F47" s="8">
        <v>0.6</v>
      </c>
      <c r="G47" s="12">
        <v>21</v>
      </c>
      <c r="H47" s="8">
        <v>1.17</v>
      </c>
      <c r="I47" s="12">
        <v>0</v>
      </c>
    </row>
    <row r="48" spans="2:9" ht="15" customHeight="1" x14ac:dyDescent="0.15">
      <c r="B48" t="s">
        <v>105</v>
      </c>
      <c r="C48" s="12">
        <v>33</v>
      </c>
      <c r="D48" s="8">
        <v>0.83</v>
      </c>
      <c r="E48" s="12">
        <v>7</v>
      </c>
      <c r="F48" s="8">
        <v>0.32</v>
      </c>
      <c r="G48" s="12">
        <v>26</v>
      </c>
      <c r="H48" s="8">
        <v>1.45</v>
      </c>
      <c r="I48" s="12">
        <v>0</v>
      </c>
    </row>
    <row r="51" spans="2:9" ht="33" customHeight="1" x14ac:dyDescent="0.15">
      <c r="B51" t="s">
        <v>357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369</v>
      </c>
      <c r="D52" s="8">
        <v>9.2799999999999994</v>
      </c>
      <c r="E52" s="12">
        <v>312</v>
      </c>
      <c r="F52" s="8">
        <v>14.37</v>
      </c>
      <c r="G52" s="12">
        <v>57</v>
      </c>
      <c r="H52" s="8">
        <v>3.17</v>
      </c>
      <c r="I52" s="12">
        <v>0</v>
      </c>
    </row>
    <row r="53" spans="2:9" ht="15" customHeight="1" x14ac:dyDescent="0.15">
      <c r="B53" t="s">
        <v>155</v>
      </c>
      <c r="C53" s="12">
        <v>216</v>
      </c>
      <c r="D53" s="8">
        <v>5.43</v>
      </c>
      <c r="E53" s="12">
        <v>178</v>
      </c>
      <c r="F53" s="8">
        <v>8.1999999999999993</v>
      </c>
      <c r="G53" s="12">
        <v>38</v>
      </c>
      <c r="H53" s="8">
        <v>2.11</v>
      </c>
      <c r="I53" s="12">
        <v>0</v>
      </c>
    </row>
    <row r="54" spans="2:9" ht="15" customHeight="1" x14ac:dyDescent="0.15">
      <c r="B54" t="s">
        <v>157</v>
      </c>
      <c r="C54" s="12">
        <v>151</v>
      </c>
      <c r="D54" s="8">
        <v>3.8</v>
      </c>
      <c r="E54" s="12">
        <v>125</v>
      </c>
      <c r="F54" s="8">
        <v>5.76</v>
      </c>
      <c r="G54" s="12">
        <v>26</v>
      </c>
      <c r="H54" s="8">
        <v>1.45</v>
      </c>
      <c r="I54" s="12">
        <v>0</v>
      </c>
    </row>
    <row r="55" spans="2:9" ht="15" customHeight="1" x14ac:dyDescent="0.15">
      <c r="B55" t="s">
        <v>152</v>
      </c>
      <c r="C55" s="12">
        <v>136</v>
      </c>
      <c r="D55" s="8">
        <v>3.42</v>
      </c>
      <c r="E55" s="12">
        <v>128</v>
      </c>
      <c r="F55" s="8">
        <v>5.9</v>
      </c>
      <c r="G55" s="12">
        <v>7</v>
      </c>
      <c r="H55" s="8">
        <v>0.39</v>
      </c>
      <c r="I55" s="12">
        <v>1</v>
      </c>
    </row>
    <row r="56" spans="2:9" ht="15" customHeight="1" x14ac:dyDescent="0.15">
      <c r="B56" t="s">
        <v>150</v>
      </c>
      <c r="C56" s="12">
        <v>128</v>
      </c>
      <c r="D56" s="8">
        <v>3.22</v>
      </c>
      <c r="E56" s="12">
        <v>100</v>
      </c>
      <c r="F56" s="8">
        <v>4.6100000000000003</v>
      </c>
      <c r="G56" s="12">
        <v>28</v>
      </c>
      <c r="H56" s="8">
        <v>1.56</v>
      </c>
      <c r="I56" s="12">
        <v>0</v>
      </c>
    </row>
    <row r="57" spans="2:9" ht="15" customHeight="1" x14ac:dyDescent="0.15">
      <c r="B57" t="s">
        <v>156</v>
      </c>
      <c r="C57" s="12">
        <v>122</v>
      </c>
      <c r="D57" s="8">
        <v>3.07</v>
      </c>
      <c r="E57" s="12">
        <v>95</v>
      </c>
      <c r="F57" s="8">
        <v>4.38</v>
      </c>
      <c r="G57" s="12">
        <v>26</v>
      </c>
      <c r="H57" s="8">
        <v>1.45</v>
      </c>
      <c r="I57" s="12">
        <v>1</v>
      </c>
    </row>
    <row r="58" spans="2:9" ht="15" customHeight="1" x14ac:dyDescent="0.15">
      <c r="B58" t="s">
        <v>151</v>
      </c>
      <c r="C58" s="12">
        <v>111</v>
      </c>
      <c r="D58" s="8">
        <v>2.79</v>
      </c>
      <c r="E58" s="12">
        <v>99</v>
      </c>
      <c r="F58" s="8">
        <v>4.5599999999999996</v>
      </c>
      <c r="G58" s="12">
        <v>12</v>
      </c>
      <c r="H58" s="8">
        <v>0.67</v>
      </c>
      <c r="I58" s="12">
        <v>0</v>
      </c>
    </row>
    <row r="59" spans="2:9" ht="15" customHeight="1" x14ac:dyDescent="0.15">
      <c r="B59" t="s">
        <v>145</v>
      </c>
      <c r="C59" s="12">
        <v>103</v>
      </c>
      <c r="D59" s="8">
        <v>2.59</v>
      </c>
      <c r="E59" s="12">
        <v>58</v>
      </c>
      <c r="F59" s="8">
        <v>2.67</v>
      </c>
      <c r="G59" s="12">
        <v>45</v>
      </c>
      <c r="H59" s="8">
        <v>2.5</v>
      </c>
      <c r="I59" s="12">
        <v>0</v>
      </c>
    </row>
    <row r="60" spans="2:9" ht="15" customHeight="1" x14ac:dyDescent="0.15">
      <c r="B60" t="s">
        <v>154</v>
      </c>
      <c r="C60" s="12">
        <v>101</v>
      </c>
      <c r="D60" s="8">
        <v>2.54</v>
      </c>
      <c r="E60" s="12">
        <v>93</v>
      </c>
      <c r="F60" s="8">
        <v>4.28</v>
      </c>
      <c r="G60" s="12">
        <v>7</v>
      </c>
      <c r="H60" s="8">
        <v>0.39</v>
      </c>
      <c r="I60" s="12">
        <v>1</v>
      </c>
    </row>
    <row r="61" spans="2:9" ht="15" customHeight="1" x14ac:dyDescent="0.15">
      <c r="B61" t="s">
        <v>138</v>
      </c>
      <c r="C61" s="12">
        <v>70</v>
      </c>
      <c r="D61" s="8">
        <v>1.76</v>
      </c>
      <c r="E61" s="12">
        <v>16</v>
      </c>
      <c r="F61" s="8">
        <v>0.74</v>
      </c>
      <c r="G61" s="12">
        <v>54</v>
      </c>
      <c r="H61" s="8">
        <v>3</v>
      </c>
      <c r="I61" s="12">
        <v>0</v>
      </c>
    </row>
    <row r="62" spans="2:9" ht="15" customHeight="1" x14ac:dyDescent="0.15">
      <c r="B62" t="s">
        <v>149</v>
      </c>
      <c r="C62" s="12">
        <v>68</v>
      </c>
      <c r="D62" s="8">
        <v>1.71</v>
      </c>
      <c r="E62" s="12">
        <v>6</v>
      </c>
      <c r="F62" s="8">
        <v>0.28000000000000003</v>
      </c>
      <c r="G62" s="12">
        <v>62</v>
      </c>
      <c r="H62" s="8">
        <v>3.45</v>
      </c>
      <c r="I62" s="12">
        <v>0</v>
      </c>
    </row>
    <row r="63" spans="2:9" ht="15" customHeight="1" x14ac:dyDescent="0.15">
      <c r="B63" t="s">
        <v>142</v>
      </c>
      <c r="C63" s="12">
        <v>61</v>
      </c>
      <c r="D63" s="8">
        <v>1.53</v>
      </c>
      <c r="E63" s="12">
        <v>28</v>
      </c>
      <c r="F63" s="8">
        <v>1.29</v>
      </c>
      <c r="G63" s="12">
        <v>33</v>
      </c>
      <c r="H63" s="8">
        <v>1.83</v>
      </c>
      <c r="I63" s="12">
        <v>0</v>
      </c>
    </row>
    <row r="64" spans="2:9" ht="15" customHeight="1" x14ac:dyDescent="0.15">
      <c r="B64" t="s">
        <v>153</v>
      </c>
      <c r="C64" s="12">
        <v>61</v>
      </c>
      <c r="D64" s="8">
        <v>1.53</v>
      </c>
      <c r="E64" s="12">
        <v>43</v>
      </c>
      <c r="F64" s="8">
        <v>1.98</v>
      </c>
      <c r="G64" s="12">
        <v>18</v>
      </c>
      <c r="H64" s="8">
        <v>1</v>
      </c>
      <c r="I64" s="12">
        <v>0</v>
      </c>
    </row>
    <row r="65" spans="2:9" ht="15" customHeight="1" x14ac:dyDescent="0.15">
      <c r="B65" t="s">
        <v>141</v>
      </c>
      <c r="C65" s="12">
        <v>56</v>
      </c>
      <c r="D65" s="8">
        <v>1.41</v>
      </c>
      <c r="E65" s="12">
        <v>7</v>
      </c>
      <c r="F65" s="8">
        <v>0.32</v>
      </c>
      <c r="G65" s="12">
        <v>49</v>
      </c>
      <c r="H65" s="8">
        <v>2.72</v>
      </c>
      <c r="I65" s="12">
        <v>0</v>
      </c>
    </row>
    <row r="66" spans="2:9" ht="15" customHeight="1" x14ac:dyDescent="0.15">
      <c r="B66" t="s">
        <v>147</v>
      </c>
      <c r="C66" s="12">
        <v>55</v>
      </c>
      <c r="D66" s="8">
        <v>1.38</v>
      </c>
      <c r="E66" s="12">
        <v>17</v>
      </c>
      <c r="F66" s="8">
        <v>0.78</v>
      </c>
      <c r="G66" s="12">
        <v>38</v>
      </c>
      <c r="H66" s="8">
        <v>2.11</v>
      </c>
      <c r="I66" s="12">
        <v>0</v>
      </c>
    </row>
    <row r="67" spans="2:9" ht="15" customHeight="1" x14ac:dyDescent="0.15">
      <c r="B67" t="s">
        <v>175</v>
      </c>
      <c r="C67" s="12">
        <v>53</v>
      </c>
      <c r="D67" s="8">
        <v>1.33</v>
      </c>
      <c r="E67" s="12">
        <v>39</v>
      </c>
      <c r="F67" s="8">
        <v>1.8</v>
      </c>
      <c r="G67" s="12">
        <v>14</v>
      </c>
      <c r="H67" s="8">
        <v>0.78</v>
      </c>
      <c r="I67" s="12">
        <v>0</v>
      </c>
    </row>
    <row r="68" spans="2:9" ht="15" customHeight="1" x14ac:dyDescent="0.15">
      <c r="B68" t="s">
        <v>174</v>
      </c>
      <c r="C68" s="12">
        <v>52</v>
      </c>
      <c r="D68" s="8">
        <v>1.31</v>
      </c>
      <c r="E68" s="12">
        <v>11</v>
      </c>
      <c r="F68" s="8">
        <v>0.51</v>
      </c>
      <c r="G68" s="12">
        <v>41</v>
      </c>
      <c r="H68" s="8">
        <v>2.2799999999999998</v>
      </c>
      <c r="I68" s="12">
        <v>0</v>
      </c>
    </row>
    <row r="69" spans="2:9" ht="15" customHeight="1" x14ac:dyDescent="0.15">
      <c r="B69" t="s">
        <v>140</v>
      </c>
      <c r="C69" s="12">
        <v>51</v>
      </c>
      <c r="D69" s="8">
        <v>1.28</v>
      </c>
      <c r="E69" s="12">
        <v>14</v>
      </c>
      <c r="F69" s="8">
        <v>0.64</v>
      </c>
      <c r="G69" s="12">
        <v>37</v>
      </c>
      <c r="H69" s="8">
        <v>2.06</v>
      </c>
      <c r="I69" s="12">
        <v>0</v>
      </c>
    </row>
    <row r="70" spans="2:9" ht="15" customHeight="1" x14ac:dyDescent="0.15">
      <c r="B70" t="s">
        <v>166</v>
      </c>
      <c r="C70" s="12">
        <v>51</v>
      </c>
      <c r="D70" s="8">
        <v>1.28</v>
      </c>
      <c r="E70" s="12">
        <v>36</v>
      </c>
      <c r="F70" s="8">
        <v>1.66</v>
      </c>
      <c r="G70" s="12">
        <v>15</v>
      </c>
      <c r="H70" s="8">
        <v>0.83</v>
      </c>
      <c r="I70" s="12">
        <v>0</v>
      </c>
    </row>
    <row r="71" spans="2:9" ht="15" customHeight="1" x14ac:dyDescent="0.15">
      <c r="B71" t="s">
        <v>144</v>
      </c>
      <c r="C71" s="12">
        <v>51</v>
      </c>
      <c r="D71" s="8">
        <v>1.28</v>
      </c>
      <c r="E71" s="12">
        <v>18</v>
      </c>
      <c r="F71" s="8">
        <v>0.83</v>
      </c>
      <c r="G71" s="12">
        <v>33</v>
      </c>
      <c r="H71" s="8">
        <v>1.83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120</v>
      </c>
      <c r="D6" s="8">
        <v>10.58</v>
      </c>
      <c r="E6" s="12">
        <v>34</v>
      </c>
      <c r="F6" s="8">
        <v>5.48</v>
      </c>
      <c r="G6" s="12">
        <v>86</v>
      </c>
      <c r="H6" s="8">
        <v>16.8</v>
      </c>
      <c r="I6" s="12">
        <v>0</v>
      </c>
    </row>
    <row r="7" spans="2:9" ht="15" customHeight="1" x14ac:dyDescent="0.15">
      <c r="B7" t="s">
        <v>64</v>
      </c>
      <c r="C7" s="12">
        <v>40</v>
      </c>
      <c r="D7" s="8">
        <v>3.53</v>
      </c>
      <c r="E7" s="12">
        <v>11</v>
      </c>
      <c r="F7" s="8">
        <v>1.77</v>
      </c>
      <c r="G7" s="12">
        <v>29</v>
      </c>
      <c r="H7" s="8">
        <v>5.66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17</v>
      </c>
      <c r="D9" s="8">
        <v>1.5</v>
      </c>
      <c r="E9" s="12">
        <v>1</v>
      </c>
      <c r="F9" s="8">
        <v>0.16</v>
      </c>
      <c r="G9" s="12">
        <v>16</v>
      </c>
      <c r="H9" s="8">
        <v>3.13</v>
      </c>
      <c r="I9" s="12">
        <v>0</v>
      </c>
    </row>
    <row r="10" spans="2:9" ht="15" customHeight="1" x14ac:dyDescent="0.15">
      <c r="B10" t="s">
        <v>67</v>
      </c>
      <c r="C10" s="12">
        <v>4</v>
      </c>
      <c r="D10" s="8">
        <v>0.35</v>
      </c>
      <c r="E10" s="12">
        <v>2</v>
      </c>
      <c r="F10" s="8">
        <v>0.32</v>
      </c>
      <c r="G10" s="12">
        <v>2</v>
      </c>
      <c r="H10" s="8">
        <v>0.39</v>
      </c>
      <c r="I10" s="12">
        <v>0</v>
      </c>
    </row>
    <row r="11" spans="2:9" ht="15" customHeight="1" x14ac:dyDescent="0.15">
      <c r="B11" t="s">
        <v>68</v>
      </c>
      <c r="C11" s="12">
        <v>275</v>
      </c>
      <c r="D11" s="8">
        <v>24.25</v>
      </c>
      <c r="E11" s="12">
        <v>138</v>
      </c>
      <c r="F11" s="8">
        <v>22.26</v>
      </c>
      <c r="G11" s="12">
        <v>137</v>
      </c>
      <c r="H11" s="8">
        <v>26.76</v>
      </c>
      <c r="I11" s="12">
        <v>0</v>
      </c>
    </row>
    <row r="12" spans="2:9" ht="15" customHeight="1" x14ac:dyDescent="0.15">
      <c r="B12" t="s">
        <v>69</v>
      </c>
      <c r="C12" s="12">
        <v>3</v>
      </c>
      <c r="D12" s="8">
        <v>0.26</v>
      </c>
      <c r="E12" s="12">
        <v>1</v>
      </c>
      <c r="F12" s="8">
        <v>0.16</v>
      </c>
      <c r="G12" s="12">
        <v>2</v>
      </c>
      <c r="H12" s="8">
        <v>0.39</v>
      </c>
      <c r="I12" s="12">
        <v>0</v>
      </c>
    </row>
    <row r="13" spans="2:9" ht="15" customHeight="1" x14ac:dyDescent="0.15">
      <c r="B13" t="s">
        <v>70</v>
      </c>
      <c r="C13" s="12">
        <v>164</v>
      </c>
      <c r="D13" s="8">
        <v>14.46</v>
      </c>
      <c r="E13" s="12">
        <v>87</v>
      </c>
      <c r="F13" s="8">
        <v>14.03</v>
      </c>
      <c r="G13" s="12">
        <v>76</v>
      </c>
      <c r="H13" s="8">
        <v>14.84</v>
      </c>
      <c r="I13" s="12">
        <v>1</v>
      </c>
    </row>
    <row r="14" spans="2:9" ht="15" customHeight="1" x14ac:dyDescent="0.15">
      <c r="B14" t="s">
        <v>71</v>
      </c>
      <c r="C14" s="12">
        <v>75</v>
      </c>
      <c r="D14" s="8">
        <v>6.61</v>
      </c>
      <c r="E14" s="12">
        <v>27</v>
      </c>
      <c r="F14" s="8">
        <v>4.3499999999999996</v>
      </c>
      <c r="G14" s="12">
        <v>48</v>
      </c>
      <c r="H14" s="8">
        <v>9.3800000000000008</v>
      </c>
      <c r="I14" s="12">
        <v>0</v>
      </c>
    </row>
    <row r="15" spans="2:9" ht="15" customHeight="1" x14ac:dyDescent="0.15">
      <c r="B15" t="s">
        <v>72</v>
      </c>
      <c r="C15" s="12">
        <v>124</v>
      </c>
      <c r="D15" s="8">
        <v>10.93</v>
      </c>
      <c r="E15" s="12">
        <v>97</v>
      </c>
      <c r="F15" s="8">
        <v>15.65</v>
      </c>
      <c r="G15" s="12">
        <v>26</v>
      </c>
      <c r="H15" s="8">
        <v>5.08</v>
      </c>
      <c r="I15" s="12">
        <v>1</v>
      </c>
    </row>
    <row r="16" spans="2:9" ht="15" customHeight="1" x14ac:dyDescent="0.15">
      <c r="B16" t="s">
        <v>73</v>
      </c>
      <c r="C16" s="12">
        <v>151</v>
      </c>
      <c r="D16" s="8">
        <v>13.32</v>
      </c>
      <c r="E16" s="12">
        <v>111</v>
      </c>
      <c r="F16" s="8">
        <v>17.899999999999999</v>
      </c>
      <c r="G16" s="12">
        <v>40</v>
      </c>
      <c r="H16" s="8">
        <v>7.81</v>
      </c>
      <c r="I16" s="12">
        <v>0</v>
      </c>
    </row>
    <row r="17" spans="2:9" ht="15" customHeight="1" x14ac:dyDescent="0.15">
      <c r="B17" t="s">
        <v>74</v>
      </c>
      <c r="C17" s="12">
        <v>55</v>
      </c>
      <c r="D17" s="8">
        <v>4.8499999999999996</v>
      </c>
      <c r="E17" s="12">
        <v>49</v>
      </c>
      <c r="F17" s="8">
        <v>7.9</v>
      </c>
      <c r="G17" s="12">
        <v>6</v>
      </c>
      <c r="H17" s="8">
        <v>1.17</v>
      </c>
      <c r="I17" s="12">
        <v>0</v>
      </c>
    </row>
    <row r="18" spans="2:9" ht="15" customHeight="1" x14ac:dyDescent="0.15">
      <c r="B18" t="s">
        <v>75</v>
      </c>
      <c r="C18" s="12">
        <v>80</v>
      </c>
      <c r="D18" s="8">
        <v>7.05</v>
      </c>
      <c r="E18" s="12">
        <v>53</v>
      </c>
      <c r="F18" s="8">
        <v>8.5500000000000007</v>
      </c>
      <c r="G18" s="12">
        <v>27</v>
      </c>
      <c r="H18" s="8">
        <v>5.27</v>
      </c>
      <c r="I18" s="12">
        <v>0</v>
      </c>
    </row>
    <row r="19" spans="2:9" ht="15" customHeight="1" x14ac:dyDescent="0.15">
      <c r="B19" t="s">
        <v>76</v>
      </c>
      <c r="C19" s="12">
        <v>26</v>
      </c>
      <c r="D19" s="8">
        <v>2.29</v>
      </c>
      <c r="E19" s="12">
        <v>9</v>
      </c>
      <c r="F19" s="8">
        <v>1.45</v>
      </c>
      <c r="G19" s="12">
        <v>17</v>
      </c>
      <c r="H19" s="8">
        <v>3.32</v>
      </c>
      <c r="I19" s="12">
        <v>0</v>
      </c>
    </row>
    <row r="20" spans="2:9" ht="15" customHeight="1" x14ac:dyDescent="0.15">
      <c r="B20" s="9" t="s">
        <v>216</v>
      </c>
      <c r="C20" s="12">
        <f>SUM(LTBL_14208[総数／事業所数])</f>
        <v>1134</v>
      </c>
      <c r="E20" s="12">
        <f>SUBTOTAL(109,LTBL_14208[個人／事業所数])</f>
        <v>620</v>
      </c>
      <c r="G20" s="12">
        <f>SUBTOTAL(109,LTBL_14208[法人／事業所数])</f>
        <v>512</v>
      </c>
      <c r="I20" s="12">
        <f>SUBTOTAL(109,LTBL_14208[法人以外の団体／事業所数])</f>
        <v>2</v>
      </c>
    </row>
    <row r="21" spans="2:9" ht="15" customHeight="1" x14ac:dyDescent="0.15">
      <c r="E21" s="11">
        <f>LTBL_14208[[#Totals],[個人／事業所数]]/LTBL_14208[[#Totals],[総数／事業所数]]</f>
        <v>0.54673721340388004</v>
      </c>
      <c r="G21" s="11">
        <f>LTBL_14208[[#Totals],[法人／事業所数]]/LTBL_14208[[#Totals],[総数／事業所数]]</f>
        <v>0.45149911816578481</v>
      </c>
      <c r="I21" s="11">
        <f>LTBL_14208[[#Totals],[法人以外の団体／事業所数]]/LTBL_14208[[#Totals],[総数／事業所数]]</f>
        <v>1.7636684303350969E-3</v>
      </c>
    </row>
    <row r="23" spans="2:9" ht="33" customHeight="1" x14ac:dyDescent="0.15">
      <c r="B23" t="s">
        <v>215</v>
      </c>
      <c r="C23" s="10" t="s">
        <v>78</v>
      </c>
      <c r="D23" s="10" t="s">
        <v>359</v>
      </c>
      <c r="E23" s="10" t="s">
        <v>80</v>
      </c>
      <c r="F23" s="10" t="s">
        <v>223</v>
      </c>
      <c r="G23" s="10" t="s">
        <v>82</v>
      </c>
      <c r="H23" s="10" t="s">
        <v>360</v>
      </c>
      <c r="I23" s="10" t="s">
        <v>84</v>
      </c>
    </row>
    <row r="24" spans="2:9" ht="15" customHeight="1" x14ac:dyDescent="0.15">
      <c r="B24" t="s">
        <v>218</v>
      </c>
      <c r="C24">
        <v>0</v>
      </c>
      <c r="D24" t="s">
        <v>217</v>
      </c>
      <c r="E24">
        <v>0</v>
      </c>
      <c r="F24" t="s">
        <v>219</v>
      </c>
      <c r="G24">
        <v>0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140</v>
      </c>
      <c r="D29" s="8">
        <v>12.35</v>
      </c>
      <c r="E29" s="12">
        <v>85</v>
      </c>
      <c r="F29" s="8">
        <v>13.71</v>
      </c>
      <c r="G29" s="12">
        <v>54</v>
      </c>
      <c r="H29" s="8">
        <v>10.55</v>
      </c>
      <c r="I29" s="12">
        <v>1</v>
      </c>
    </row>
    <row r="30" spans="2:9" ht="15" customHeight="1" x14ac:dyDescent="0.15">
      <c r="B30" t="s">
        <v>100</v>
      </c>
      <c r="C30" s="12">
        <v>128</v>
      </c>
      <c r="D30" s="8">
        <v>11.29</v>
      </c>
      <c r="E30" s="12">
        <v>100</v>
      </c>
      <c r="F30" s="8">
        <v>16.13</v>
      </c>
      <c r="G30" s="12">
        <v>28</v>
      </c>
      <c r="H30" s="8">
        <v>5.47</v>
      </c>
      <c r="I30" s="12">
        <v>0</v>
      </c>
    </row>
    <row r="31" spans="2:9" ht="15" customHeight="1" x14ac:dyDescent="0.15">
      <c r="B31" t="s">
        <v>99</v>
      </c>
      <c r="C31" s="12">
        <v>118</v>
      </c>
      <c r="D31" s="8">
        <v>10.41</v>
      </c>
      <c r="E31" s="12">
        <v>95</v>
      </c>
      <c r="F31" s="8">
        <v>15.32</v>
      </c>
      <c r="G31" s="12">
        <v>22</v>
      </c>
      <c r="H31" s="8">
        <v>4.3</v>
      </c>
      <c r="I31" s="12">
        <v>1</v>
      </c>
    </row>
    <row r="32" spans="2:9" ht="15" customHeight="1" x14ac:dyDescent="0.15">
      <c r="B32" t="s">
        <v>94</v>
      </c>
      <c r="C32" s="12">
        <v>100</v>
      </c>
      <c r="D32" s="8">
        <v>8.82</v>
      </c>
      <c r="E32" s="12">
        <v>49</v>
      </c>
      <c r="F32" s="8">
        <v>7.9</v>
      </c>
      <c r="G32" s="12">
        <v>51</v>
      </c>
      <c r="H32" s="8">
        <v>9.9600000000000009</v>
      </c>
      <c r="I32" s="12">
        <v>0</v>
      </c>
    </row>
    <row r="33" spans="2:9" ht="15" customHeight="1" x14ac:dyDescent="0.15">
      <c r="B33" t="s">
        <v>92</v>
      </c>
      <c r="C33" s="12">
        <v>67</v>
      </c>
      <c r="D33" s="8">
        <v>5.91</v>
      </c>
      <c r="E33" s="12">
        <v>37</v>
      </c>
      <c r="F33" s="8">
        <v>5.97</v>
      </c>
      <c r="G33" s="12">
        <v>30</v>
      </c>
      <c r="H33" s="8">
        <v>5.86</v>
      </c>
      <c r="I33" s="12">
        <v>0</v>
      </c>
    </row>
    <row r="34" spans="2:9" ht="15" customHeight="1" x14ac:dyDescent="0.15">
      <c r="B34" t="s">
        <v>103</v>
      </c>
      <c r="C34" s="12">
        <v>62</v>
      </c>
      <c r="D34" s="8">
        <v>5.47</v>
      </c>
      <c r="E34" s="12">
        <v>53</v>
      </c>
      <c r="F34" s="8">
        <v>8.5500000000000007</v>
      </c>
      <c r="G34" s="12">
        <v>9</v>
      </c>
      <c r="H34" s="8">
        <v>1.76</v>
      </c>
      <c r="I34" s="12">
        <v>0</v>
      </c>
    </row>
    <row r="35" spans="2:9" ht="15" customHeight="1" x14ac:dyDescent="0.15">
      <c r="B35" t="s">
        <v>102</v>
      </c>
      <c r="C35" s="12">
        <v>55</v>
      </c>
      <c r="D35" s="8">
        <v>4.8499999999999996</v>
      </c>
      <c r="E35" s="12">
        <v>49</v>
      </c>
      <c r="F35" s="8">
        <v>7.9</v>
      </c>
      <c r="G35" s="12">
        <v>6</v>
      </c>
      <c r="H35" s="8">
        <v>1.17</v>
      </c>
      <c r="I35" s="12">
        <v>0</v>
      </c>
    </row>
    <row r="36" spans="2:9" ht="15" customHeight="1" x14ac:dyDescent="0.15">
      <c r="B36" t="s">
        <v>85</v>
      </c>
      <c r="C36" s="12">
        <v>53</v>
      </c>
      <c r="D36" s="8">
        <v>4.67</v>
      </c>
      <c r="E36" s="12">
        <v>15</v>
      </c>
      <c r="F36" s="8">
        <v>2.42</v>
      </c>
      <c r="G36" s="12">
        <v>38</v>
      </c>
      <c r="H36" s="8">
        <v>7.42</v>
      </c>
      <c r="I36" s="12">
        <v>0</v>
      </c>
    </row>
    <row r="37" spans="2:9" ht="15" customHeight="1" x14ac:dyDescent="0.15">
      <c r="B37" t="s">
        <v>97</v>
      </c>
      <c r="C37" s="12">
        <v>44</v>
      </c>
      <c r="D37" s="8">
        <v>3.88</v>
      </c>
      <c r="E37" s="12">
        <v>14</v>
      </c>
      <c r="F37" s="8">
        <v>2.2599999999999998</v>
      </c>
      <c r="G37" s="12">
        <v>30</v>
      </c>
      <c r="H37" s="8">
        <v>5.86</v>
      </c>
      <c r="I37" s="12">
        <v>0</v>
      </c>
    </row>
    <row r="38" spans="2:9" ht="15" customHeight="1" x14ac:dyDescent="0.15">
      <c r="B38" t="s">
        <v>91</v>
      </c>
      <c r="C38" s="12">
        <v>43</v>
      </c>
      <c r="D38" s="8">
        <v>3.79</v>
      </c>
      <c r="E38" s="12">
        <v>28</v>
      </c>
      <c r="F38" s="8">
        <v>4.5199999999999996</v>
      </c>
      <c r="G38" s="12">
        <v>15</v>
      </c>
      <c r="H38" s="8">
        <v>2.93</v>
      </c>
      <c r="I38" s="12">
        <v>0</v>
      </c>
    </row>
    <row r="39" spans="2:9" ht="15" customHeight="1" x14ac:dyDescent="0.15">
      <c r="B39" t="s">
        <v>86</v>
      </c>
      <c r="C39" s="12">
        <v>42</v>
      </c>
      <c r="D39" s="8">
        <v>3.7</v>
      </c>
      <c r="E39" s="12">
        <v>15</v>
      </c>
      <c r="F39" s="8">
        <v>2.42</v>
      </c>
      <c r="G39" s="12">
        <v>27</v>
      </c>
      <c r="H39" s="8">
        <v>5.27</v>
      </c>
      <c r="I39" s="12">
        <v>0</v>
      </c>
    </row>
    <row r="40" spans="2:9" ht="15" customHeight="1" x14ac:dyDescent="0.15">
      <c r="B40" t="s">
        <v>98</v>
      </c>
      <c r="C40" s="12">
        <v>31</v>
      </c>
      <c r="D40" s="8">
        <v>2.73</v>
      </c>
      <c r="E40" s="12">
        <v>13</v>
      </c>
      <c r="F40" s="8">
        <v>2.1</v>
      </c>
      <c r="G40" s="12">
        <v>18</v>
      </c>
      <c r="H40" s="8">
        <v>3.52</v>
      </c>
      <c r="I40" s="12">
        <v>0</v>
      </c>
    </row>
    <row r="41" spans="2:9" ht="15" customHeight="1" x14ac:dyDescent="0.15">
      <c r="B41" t="s">
        <v>87</v>
      </c>
      <c r="C41" s="12">
        <v>25</v>
      </c>
      <c r="D41" s="8">
        <v>2.2000000000000002</v>
      </c>
      <c r="E41" s="12">
        <v>4</v>
      </c>
      <c r="F41" s="8">
        <v>0.65</v>
      </c>
      <c r="G41" s="12">
        <v>21</v>
      </c>
      <c r="H41" s="8">
        <v>4.0999999999999996</v>
      </c>
      <c r="I41" s="12">
        <v>0</v>
      </c>
    </row>
    <row r="42" spans="2:9" ht="15" customHeight="1" x14ac:dyDescent="0.15">
      <c r="B42" t="s">
        <v>95</v>
      </c>
      <c r="C42" s="12">
        <v>20</v>
      </c>
      <c r="D42" s="8">
        <v>1.76</v>
      </c>
      <c r="E42" s="12">
        <v>1</v>
      </c>
      <c r="F42" s="8">
        <v>0.16</v>
      </c>
      <c r="G42" s="12">
        <v>19</v>
      </c>
      <c r="H42" s="8">
        <v>3.71</v>
      </c>
      <c r="I42" s="12">
        <v>0</v>
      </c>
    </row>
    <row r="43" spans="2:9" ht="15" customHeight="1" x14ac:dyDescent="0.15">
      <c r="B43" t="s">
        <v>108</v>
      </c>
      <c r="C43" s="12">
        <v>18</v>
      </c>
      <c r="D43" s="8">
        <v>1.59</v>
      </c>
      <c r="E43" s="12">
        <v>0</v>
      </c>
      <c r="F43" s="8">
        <v>0</v>
      </c>
      <c r="G43" s="12">
        <v>18</v>
      </c>
      <c r="H43" s="8">
        <v>3.52</v>
      </c>
      <c r="I43" s="12">
        <v>0</v>
      </c>
    </row>
    <row r="44" spans="2:9" ht="15" customHeight="1" x14ac:dyDescent="0.15">
      <c r="B44" t="s">
        <v>93</v>
      </c>
      <c r="C44" s="12">
        <v>17</v>
      </c>
      <c r="D44" s="8">
        <v>1.5</v>
      </c>
      <c r="E44" s="12">
        <v>7</v>
      </c>
      <c r="F44" s="8">
        <v>1.1299999999999999</v>
      </c>
      <c r="G44" s="12">
        <v>10</v>
      </c>
      <c r="H44" s="8">
        <v>1.95</v>
      </c>
      <c r="I44" s="12">
        <v>0</v>
      </c>
    </row>
    <row r="45" spans="2:9" ht="15" customHeight="1" x14ac:dyDescent="0.15">
      <c r="B45" t="s">
        <v>101</v>
      </c>
      <c r="C45" s="12">
        <v>16</v>
      </c>
      <c r="D45" s="8">
        <v>1.41</v>
      </c>
      <c r="E45" s="12">
        <v>8</v>
      </c>
      <c r="F45" s="8">
        <v>1.29</v>
      </c>
      <c r="G45" s="12">
        <v>8</v>
      </c>
      <c r="H45" s="8">
        <v>1.56</v>
      </c>
      <c r="I45" s="12">
        <v>0</v>
      </c>
    </row>
    <row r="46" spans="2:9" ht="15" customHeight="1" x14ac:dyDescent="0.15">
      <c r="B46" t="s">
        <v>105</v>
      </c>
      <c r="C46" s="12">
        <v>14</v>
      </c>
      <c r="D46" s="8">
        <v>1.23</v>
      </c>
      <c r="E46" s="12">
        <v>7</v>
      </c>
      <c r="F46" s="8">
        <v>1.1299999999999999</v>
      </c>
      <c r="G46" s="12">
        <v>7</v>
      </c>
      <c r="H46" s="8">
        <v>1.37</v>
      </c>
      <c r="I46" s="12">
        <v>0</v>
      </c>
    </row>
    <row r="47" spans="2:9" ht="15" customHeight="1" x14ac:dyDescent="0.15">
      <c r="B47" t="s">
        <v>118</v>
      </c>
      <c r="C47" s="12">
        <v>13</v>
      </c>
      <c r="D47" s="8">
        <v>1.1499999999999999</v>
      </c>
      <c r="E47" s="12">
        <v>6</v>
      </c>
      <c r="F47" s="8">
        <v>0.97</v>
      </c>
      <c r="G47" s="12">
        <v>7</v>
      </c>
      <c r="H47" s="8">
        <v>1.37</v>
      </c>
      <c r="I47" s="12">
        <v>0</v>
      </c>
    </row>
    <row r="48" spans="2:9" ht="15" customHeight="1" x14ac:dyDescent="0.15">
      <c r="B48" t="s">
        <v>104</v>
      </c>
      <c r="C48" s="12">
        <v>13</v>
      </c>
      <c r="D48" s="8">
        <v>1.1499999999999999</v>
      </c>
      <c r="E48" s="12">
        <v>2</v>
      </c>
      <c r="F48" s="8">
        <v>0.32</v>
      </c>
      <c r="G48" s="12">
        <v>11</v>
      </c>
      <c r="H48" s="8">
        <v>2.15</v>
      </c>
      <c r="I48" s="12">
        <v>0</v>
      </c>
    </row>
    <row r="51" spans="2:9" ht="33" customHeight="1" x14ac:dyDescent="0.15">
      <c r="B51" t="s">
        <v>255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85</v>
      </c>
      <c r="D52" s="8">
        <v>7.5</v>
      </c>
      <c r="E52" s="12">
        <v>65</v>
      </c>
      <c r="F52" s="8">
        <v>10.48</v>
      </c>
      <c r="G52" s="12">
        <v>20</v>
      </c>
      <c r="H52" s="8">
        <v>3.91</v>
      </c>
      <c r="I52" s="12">
        <v>0</v>
      </c>
    </row>
    <row r="53" spans="2:9" ht="15" customHeight="1" x14ac:dyDescent="0.15">
      <c r="B53" t="s">
        <v>155</v>
      </c>
      <c r="C53" s="12">
        <v>66</v>
      </c>
      <c r="D53" s="8">
        <v>5.82</v>
      </c>
      <c r="E53" s="12">
        <v>56</v>
      </c>
      <c r="F53" s="8">
        <v>9.0299999999999994</v>
      </c>
      <c r="G53" s="12">
        <v>10</v>
      </c>
      <c r="H53" s="8">
        <v>1.95</v>
      </c>
      <c r="I53" s="12">
        <v>0</v>
      </c>
    </row>
    <row r="54" spans="2:9" ht="15" customHeight="1" x14ac:dyDescent="0.15">
      <c r="B54" t="s">
        <v>157</v>
      </c>
      <c r="C54" s="12">
        <v>44</v>
      </c>
      <c r="D54" s="8">
        <v>3.88</v>
      </c>
      <c r="E54" s="12">
        <v>37</v>
      </c>
      <c r="F54" s="8">
        <v>5.97</v>
      </c>
      <c r="G54" s="12">
        <v>7</v>
      </c>
      <c r="H54" s="8">
        <v>1.37</v>
      </c>
      <c r="I54" s="12">
        <v>0</v>
      </c>
    </row>
    <row r="55" spans="2:9" ht="15" customHeight="1" x14ac:dyDescent="0.15">
      <c r="B55" t="s">
        <v>156</v>
      </c>
      <c r="C55" s="12">
        <v>43</v>
      </c>
      <c r="D55" s="8">
        <v>3.79</v>
      </c>
      <c r="E55" s="12">
        <v>39</v>
      </c>
      <c r="F55" s="8">
        <v>6.29</v>
      </c>
      <c r="G55" s="12">
        <v>4</v>
      </c>
      <c r="H55" s="8">
        <v>0.78</v>
      </c>
      <c r="I55" s="12">
        <v>0</v>
      </c>
    </row>
    <row r="56" spans="2:9" ht="15" customHeight="1" x14ac:dyDescent="0.15">
      <c r="B56" t="s">
        <v>143</v>
      </c>
      <c r="C56" s="12">
        <v>33</v>
      </c>
      <c r="D56" s="8">
        <v>2.91</v>
      </c>
      <c r="E56" s="12">
        <v>18</v>
      </c>
      <c r="F56" s="8">
        <v>2.9</v>
      </c>
      <c r="G56" s="12">
        <v>15</v>
      </c>
      <c r="H56" s="8">
        <v>2.93</v>
      </c>
      <c r="I56" s="12">
        <v>0</v>
      </c>
    </row>
    <row r="57" spans="2:9" ht="15" customHeight="1" x14ac:dyDescent="0.15">
      <c r="B57" t="s">
        <v>150</v>
      </c>
      <c r="C57" s="12">
        <v>32</v>
      </c>
      <c r="D57" s="8">
        <v>2.82</v>
      </c>
      <c r="E57" s="12">
        <v>24</v>
      </c>
      <c r="F57" s="8">
        <v>3.87</v>
      </c>
      <c r="G57" s="12">
        <v>8</v>
      </c>
      <c r="H57" s="8">
        <v>1.56</v>
      </c>
      <c r="I57" s="12">
        <v>0</v>
      </c>
    </row>
    <row r="58" spans="2:9" ht="15" customHeight="1" x14ac:dyDescent="0.15">
      <c r="B58" t="s">
        <v>151</v>
      </c>
      <c r="C58" s="12">
        <v>28</v>
      </c>
      <c r="D58" s="8">
        <v>2.4700000000000002</v>
      </c>
      <c r="E58" s="12">
        <v>25</v>
      </c>
      <c r="F58" s="8">
        <v>4.03</v>
      </c>
      <c r="G58" s="12">
        <v>3</v>
      </c>
      <c r="H58" s="8">
        <v>0.59</v>
      </c>
      <c r="I58" s="12">
        <v>0</v>
      </c>
    </row>
    <row r="59" spans="2:9" ht="15" customHeight="1" x14ac:dyDescent="0.15">
      <c r="B59" t="s">
        <v>145</v>
      </c>
      <c r="C59" s="12">
        <v>27</v>
      </c>
      <c r="D59" s="8">
        <v>2.38</v>
      </c>
      <c r="E59" s="12">
        <v>15</v>
      </c>
      <c r="F59" s="8">
        <v>2.42</v>
      </c>
      <c r="G59" s="12">
        <v>12</v>
      </c>
      <c r="H59" s="8">
        <v>2.34</v>
      </c>
      <c r="I59" s="12">
        <v>0</v>
      </c>
    </row>
    <row r="60" spans="2:9" ht="15" customHeight="1" x14ac:dyDescent="0.15">
      <c r="B60" t="s">
        <v>161</v>
      </c>
      <c r="C60" s="12">
        <v>26</v>
      </c>
      <c r="D60" s="8">
        <v>2.29</v>
      </c>
      <c r="E60" s="12">
        <v>7</v>
      </c>
      <c r="F60" s="8">
        <v>1.1299999999999999</v>
      </c>
      <c r="G60" s="12">
        <v>19</v>
      </c>
      <c r="H60" s="8">
        <v>3.71</v>
      </c>
      <c r="I60" s="12">
        <v>0</v>
      </c>
    </row>
    <row r="61" spans="2:9" ht="15" customHeight="1" x14ac:dyDescent="0.15">
      <c r="B61" t="s">
        <v>153</v>
      </c>
      <c r="C61" s="12">
        <v>25</v>
      </c>
      <c r="D61" s="8">
        <v>2.2000000000000002</v>
      </c>
      <c r="E61" s="12">
        <v>16</v>
      </c>
      <c r="F61" s="8">
        <v>2.58</v>
      </c>
      <c r="G61" s="12">
        <v>9</v>
      </c>
      <c r="H61" s="8">
        <v>1.76</v>
      </c>
      <c r="I61" s="12">
        <v>0</v>
      </c>
    </row>
    <row r="62" spans="2:9" ht="15" customHeight="1" x14ac:dyDescent="0.15">
      <c r="B62" t="s">
        <v>154</v>
      </c>
      <c r="C62" s="12">
        <v>24</v>
      </c>
      <c r="D62" s="8">
        <v>2.12</v>
      </c>
      <c r="E62" s="12">
        <v>20</v>
      </c>
      <c r="F62" s="8">
        <v>3.23</v>
      </c>
      <c r="G62" s="12">
        <v>4</v>
      </c>
      <c r="H62" s="8">
        <v>0.78</v>
      </c>
      <c r="I62" s="12">
        <v>0</v>
      </c>
    </row>
    <row r="63" spans="2:9" ht="15" customHeight="1" x14ac:dyDescent="0.15">
      <c r="B63" t="s">
        <v>142</v>
      </c>
      <c r="C63" s="12">
        <v>22</v>
      </c>
      <c r="D63" s="8">
        <v>1.94</v>
      </c>
      <c r="E63" s="12">
        <v>13</v>
      </c>
      <c r="F63" s="8">
        <v>2.1</v>
      </c>
      <c r="G63" s="12">
        <v>9</v>
      </c>
      <c r="H63" s="8">
        <v>1.76</v>
      </c>
      <c r="I63" s="12">
        <v>0</v>
      </c>
    </row>
    <row r="64" spans="2:9" ht="15" customHeight="1" x14ac:dyDescent="0.15">
      <c r="B64" t="s">
        <v>147</v>
      </c>
      <c r="C64" s="12">
        <v>19</v>
      </c>
      <c r="D64" s="8">
        <v>1.68</v>
      </c>
      <c r="E64" s="12">
        <v>9</v>
      </c>
      <c r="F64" s="8">
        <v>1.45</v>
      </c>
      <c r="G64" s="12">
        <v>10</v>
      </c>
      <c r="H64" s="8">
        <v>1.95</v>
      </c>
      <c r="I64" s="12">
        <v>0</v>
      </c>
    </row>
    <row r="65" spans="2:9" ht="15" customHeight="1" x14ac:dyDescent="0.15">
      <c r="B65" t="s">
        <v>170</v>
      </c>
      <c r="C65" s="12">
        <v>19</v>
      </c>
      <c r="D65" s="8">
        <v>1.68</v>
      </c>
      <c r="E65" s="12">
        <v>14</v>
      </c>
      <c r="F65" s="8">
        <v>2.2599999999999998</v>
      </c>
      <c r="G65" s="12">
        <v>4</v>
      </c>
      <c r="H65" s="8">
        <v>0.78</v>
      </c>
      <c r="I65" s="12">
        <v>1</v>
      </c>
    </row>
    <row r="66" spans="2:9" ht="15" customHeight="1" x14ac:dyDescent="0.15">
      <c r="B66" t="s">
        <v>173</v>
      </c>
      <c r="C66" s="12">
        <v>18</v>
      </c>
      <c r="D66" s="8">
        <v>1.59</v>
      </c>
      <c r="E66" s="12">
        <v>10</v>
      </c>
      <c r="F66" s="8">
        <v>1.61</v>
      </c>
      <c r="G66" s="12">
        <v>8</v>
      </c>
      <c r="H66" s="8">
        <v>1.56</v>
      </c>
      <c r="I66" s="12">
        <v>0</v>
      </c>
    </row>
    <row r="67" spans="2:9" ht="15" customHeight="1" x14ac:dyDescent="0.15">
      <c r="B67" t="s">
        <v>149</v>
      </c>
      <c r="C67" s="12">
        <v>18</v>
      </c>
      <c r="D67" s="8">
        <v>1.59</v>
      </c>
      <c r="E67" s="12">
        <v>1</v>
      </c>
      <c r="F67" s="8">
        <v>0.16</v>
      </c>
      <c r="G67" s="12">
        <v>16</v>
      </c>
      <c r="H67" s="8">
        <v>3.13</v>
      </c>
      <c r="I67" s="12">
        <v>1</v>
      </c>
    </row>
    <row r="68" spans="2:9" ht="15" customHeight="1" x14ac:dyDescent="0.15">
      <c r="B68" t="s">
        <v>152</v>
      </c>
      <c r="C68" s="12">
        <v>18</v>
      </c>
      <c r="D68" s="8">
        <v>1.59</v>
      </c>
      <c r="E68" s="12">
        <v>18</v>
      </c>
      <c r="F68" s="8">
        <v>2.9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158</v>
      </c>
      <c r="C69" s="12">
        <v>17</v>
      </c>
      <c r="D69" s="8">
        <v>1.5</v>
      </c>
      <c r="E69" s="12">
        <v>4</v>
      </c>
      <c r="F69" s="8">
        <v>0.65</v>
      </c>
      <c r="G69" s="12">
        <v>13</v>
      </c>
      <c r="H69" s="8">
        <v>2.54</v>
      </c>
      <c r="I69" s="12">
        <v>0</v>
      </c>
    </row>
    <row r="70" spans="2:9" ht="15" customHeight="1" x14ac:dyDescent="0.15">
      <c r="B70" t="s">
        <v>146</v>
      </c>
      <c r="C70" s="12">
        <v>16</v>
      </c>
      <c r="D70" s="8">
        <v>1.41</v>
      </c>
      <c r="E70" s="12">
        <v>1</v>
      </c>
      <c r="F70" s="8">
        <v>0.16</v>
      </c>
      <c r="G70" s="12">
        <v>15</v>
      </c>
      <c r="H70" s="8">
        <v>2.93</v>
      </c>
      <c r="I70" s="12">
        <v>0</v>
      </c>
    </row>
    <row r="71" spans="2:9" ht="15" customHeight="1" x14ac:dyDescent="0.15">
      <c r="B71" t="s">
        <v>163</v>
      </c>
      <c r="C71" s="12">
        <v>15</v>
      </c>
      <c r="D71" s="8">
        <v>1.32</v>
      </c>
      <c r="E71" s="12">
        <v>15</v>
      </c>
      <c r="F71" s="8">
        <v>2.42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361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172</v>
      </c>
      <c r="D6" s="8">
        <v>14.93</v>
      </c>
      <c r="E6" s="12">
        <v>80</v>
      </c>
      <c r="F6" s="8">
        <v>11.75</v>
      </c>
      <c r="G6" s="12">
        <v>92</v>
      </c>
      <c r="H6" s="8">
        <v>19.57</v>
      </c>
      <c r="I6" s="12">
        <v>0</v>
      </c>
    </row>
    <row r="7" spans="2:9" ht="15" customHeight="1" x14ac:dyDescent="0.15">
      <c r="B7" t="s">
        <v>64</v>
      </c>
      <c r="C7" s="12">
        <v>77</v>
      </c>
      <c r="D7" s="8">
        <v>6.68</v>
      </c>
      <c r="E7" s="12">
        <v>30</v>
      </c>
      <c r="F7" s="8">
        <v>4.41</v>
      </c>
      <c r="G7" s="12">
        <v>47</v>
      </c>
      <c r="H7" s="8">
        <v>10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</v>
      </c>
      <c r="D9" s="8">
        <v>0.35</v>
      </c>
      <c r="E9" s="12">
        <v>1</v>
      </c>
      <c r="F9" s="8">
        <v>0.15</v>
      </c>
      <c r="G9" s="12">
        <v>3</v>
      </c>
      <c r="H9" s="8">
        <v>0.64</v>
      </c>
      <c r="I9" s="12">
        <v>0</v>
      </c>
    </row>
    <row r="10" spans="2:9" ht="15" customHeight="1" x14ac:dyDescent="0.15">
      <c r="B10" t="s">
        <v>67</v>
      </c>
      <c r="C10" s="12">
        <v>8</v>
      </c>
      <c r="D10" s="8">
        <v>0.69</v>
      </c>
      <c r="E10" s="12">
        <v>3</v>
      </c>
      <c r="F10" s="8">
        <v>0.44</v>
      </c>
      <c r="G10" s="12">
        <v>5</v>
      </c>
      <c r="H10" s="8">
        <v>1.06</v>
      </c>
      <c r="I10" s="12">
        <v>0</v>
      </c>
    </row>
    <row r="11" spans="2:9" ht="15" customHeight="1" x14ac:dyDescent="0.15">
      <c r="B11" t="s">
        <v>68</v>
      </c>
      <c r="C11" s="12">
        <v>294</v>
      </c>
      <c r="D11" s="8">
        <v>25.52</v>
      </c>
      <c r="E11" s="12">
        <v>127</v>
      </c>
      <c r="F11" s="8">
        <v>18.649999999999999</v>
      </c>
      <c r="G11" s="12">
        <v>167</v>
      </c>
      <c r="H11" s="8">
        <v>35.53</v>
      </c>
      <c r="I11" s="12">
        <v>0</v>
      </c>
    </row>
    <row r="12" spans="2:9" ht="15" customHeight="1" x14ac:dyDescent="0.15">
      <c r="B12" t="s">
        <v>69</v>
      </c>
      <c r="C12" s="12">
        <v>3</v>
      </c>
      <c r="D12" s="8">
        <v>0.26</v>
      </c>
      <c r="E12" s="12">
        <v>1</v>
      </c>
      <c r="F12" s="8">
        <v>0.15</v>
      </c>
      <c r="G12" s="12">
        <v>2</v>
      </c>
      <c r="H12" s="8">
        <v>0.43</v>
      </c>
      <c r="I12" s="12">
        <v>0</v>
      </c>
    </row>
    <row r="13" spans="2:9" ht="15" customHeight="1" x14ac:dyDescent="0.15">
      <c r="B13" t="s">
        <v>70</v>
      </c>
      <c r="C13" s="12">
        <v>91</v>
      </c>
      <c r="D13" s="8">
        <v>7.9</v>
      </c>
      <c r="E13" s="12">
        <v>49</v>
      </c>
      <c r="F13" s="8">
        <v>7.2</v>
      </c>
      <c r="G13" s="12">
        <v>42</v>
      </c>
      <c r="H13" s="8">
        <v>8.94</v>
      </c>
      <c r="I13" s="12">
        <v>0</v>
      </c>
    </row>
    <row r="14" spans="2:9" ht="15" customHeight="1" x14ac:dyDescent="0.15">
      <c r="B14" t="s">
        <v>71</v>
      </c>
      <c r="C14" s="12">
        <v>26</v>
      </c>
      <c r="D14" s="8">
        <v>2.2599999999999998</v>
      </c>
      <c r="E14" s="12">
        <v>15</v>
      </c>
      <c r="F14" s="8">
        <v>2.2000000000000002</v>
      </c>
      <c r="G14" s="12">
        <v>11</v>
      </c>
      <c r="H14" s="8">
        <v>2.34</v>
      </c>
      <c r="I14" s="12">
        <v>0</v>
      </c>
    </row>
    <row r="15" spans="2:9" ht="15" customHeight="1" x14ac:dyDescent="0.15">
      <c r="B15" t="s">
        <v>72</v>
      </c>
      <c r="C15" s="12">
        <v>211</v>
      </c>
      <c r="D15" s="8">
        <v>18.32</v>
      </c>
      <c r="E15" s="12">
        <v>183</v>
      </c>
      <c r="F15" s="8">
        <v>26.87</v>
      </c>
      <c r="G15" s="12">
        <v>28</v>
      </c>
      <c r="H15" s="8">
        <v>5.96</v>
      </c>
      <c r="I15" s="12">
        <v>0</v>
      </c>
    </row>
    <row r="16" spans="2:9" ht="15" customHeight="1" x14ac:dyDescent="0.15">
      <c r="B16" t="s">
        <v>73</v>
      </c>
      <c r="C16" s="12">
        <v>170</v>
      </c>
      <c r="D16" s="8">
        <v>14.76</v>
      </c>
      <c r="E16" s="12">
        <v>138</v>
      </c>
      <c r="F16" s="8">
        <v>20.260000000000002</v>
      </c>
      <c r="G16" s="12">
        <v>32</v>
      </c>
      <c r="H16" s="8">
        <v>6.81</v>
      </c>
      <c r="I16" s="12">
        <v>0</v>
      </c>
    </row>
    <row r="17" spans="2:9" ht="15" customHeight="1" x14ac:dyDescent="0.15">
      <c r="B17" t="s">
        <v>74</v>
      </c>
      <c r="C17" s="12">
        <v>29</v>
      </c>
      <c r="D17" s="8">
        <v>2.52</v>
      </c>
      <c r="E17" s="12">
        <v>23</v>
      </c>
      <c r="F17" s="8">
        <v>3.38</v>
      </c>
      <c r="G17" s="12">
        <v>6</v>
      </c>
      <c r="H17" s="8">
        <v>1.28</v>
      </c>
      <c r="I17" s="12">
        <v>0</v>
      </c>
    </row>
    <row r="18" spans="2:9" ht="15" customHeight="1" x14ac:dyDescent="0.15">
      <c r="B18" t="s">
        <v>75</v>
      </c>
      <c r="C18" s="12">
        <v>44</v>
      </c>
      <c r="D18" s="8">
        <v>3.82</v>
      </c>
      <c r="E18" s="12">
        <v>27</v>
      </c>
      <c r="F18" s="8">
        <v>3.96</v>
      </c>
      <c r="G18" s="12">
        <v>16</v>
      </c>
      <c r="H18" s="8">
        <v>3.4</v>
      </c>
      <c r="I18" s="12">
        <v>1</v>
      </c>
    </row>
    <row r="19" spans="2:9" ht="15" customHeight="1" x14ac:dyDescent="0.15">
      <c r="B19" t="s">
        <v>76</v>
      </c>
      <c r="C19" s="12">
        <v>23</v>
      </c>
      <c r="D19" s="8">
        <v>2</v>
      </c>
      <c r="E19" s="12">
        <v>4</v>
      </c>
      <c r="F19" s="8">
        <v>0.59</v>
      </c>
      <c r="G19" s="12">
        <v>19</v>
      </c>
      <c r="H19" s="8">
        <v>4.04</v>
      </c>
      <c r="I19" s="12">
        <v>0</v>
      </c>
    </row>
    <row r="20" spans="2:9" ht="15" customHeight="1" x14ac:dyDescent="0.15">
      <c r="B20" s="9" t="s">
        <v>216</v>
      </c>
      <c r="C20" s="12">
        <f>SUM(LTBL_14210[総数／事業所数])</f>
        <v>1152</v>
      </c>
      <c r="E20" s="12">
        <f>SUBTOTAL(109,LTBL_14210[個人／事業所数])</f>
        <v>681</v>
      </c>
      <c r="G20" s="12">
        <f>SUBTOTAL(109,LTBL_14210[法人／事業所数])</f>
        <v>470</v>
      </c>
      <c r="I20" s="12">
        <f>SUBTOTAL(109,LTBL_14210[法人以外の団体／事業所数])</f>
        <v>1</v>
      </c>
    </row>
    <row r="21" spans="2:9" ht="15" customHeight="1" x14ac:dyDescent="0.15">
      <c r="E21" s="11">
        <f>LTBL_14210[[#Totals],[個人／事業所数]]/LTBL_14210[[#Totals],[総数／事業所数]]</f>
        <v>0.59114583333333337</v>
      </c>
      <c r="G21" s="11">
        <f>LTBL_14210[[#Totals],[法人／事業所数]]/LTBL_14210[[#Totals],[総数／事業所数]]</f>
        <v>0.4079861111111111</v>
      </c>
      <c r="I21" s="11">
        <f>LTBL_14210[[#Totals],[法人以外の団体／事業所数]]/LTBL_14210[[#Totals],[総数／事業所数]]</f>
        <v>8.6805555555555551E-4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362</v>
      </c>
      <c r="G23" s="10" t="s">
        <v>82</v>
      </c>
      <c r="H23" s="10" t="s">
        <v>363</v>
      </c>
      <c r="I23" s="10" t="s">
        <v>84</v>
      </c>
    </row>
    <row r="24" spans="2:9" ht="15" customHeight="1" x14ac:dyDescent="0.15">
      <c r="B24" t="s">
        <v>218</v>
      </c>
      <c r="C24">
        <v>2</v>
      </c>
      <c r="D24" t="s">
        <v>217</v>
      </c>
      <c r="E24">
        <v>0</v>
      </c>
      <c r="F24" t="s">
        <v>219</v>
      </c>
      <c r="G24">
        <v>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3</v>
      </c>
      <c r="D25" t="s">
        <v>217</v>
      </c>
      <c r="E25">
        <v>0</v>
      </c>
      <c r="F25" t="s">
        <v>219</v>
      </c>
      <c r="G25">
        <v>3</v>
      </c>
      <c r="H25" t="s">
        <v>220</v>
      </c>
      <c r="I25">
        <v>0</v>
      </c>
    </row>
    <row r="28" spans="2:9" ht="33" customHeight="1" x14ac:dyDescent="0.15">
      <c r="B28" t="s">
        <v>364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178</v>
      </c>
      <c r="D29" s="8">
        <v>15.45</v>
      </c>
      <c r="E29" s="12">
        <v>159</v>
      </c>
      <c r="F29" s="8">
        <v>23.35</v>
      </c>
      <c r="G29" s="12">
        <v>19</v>
      </c>
      <c r="H29" s="8">
        <v>4.04</v>
      </c>
      <c r="I29" s="12">
        <v>0</v>
      </c>
    </row>
    <row r="30" spans="2:9" ht="15" customHeight="1" x14ac:dyDescent="0.15">
      <c r="B30" t="s">
        <v>100</v>
      </c>
      <c r="C30" s="12">
        <v>124</v>
      </c>
      <c r="D30" s="8">
        <v>10.76</v>
      </c>
      <c r="E30" s="12">
        <v>106</v>
      </c>
      <c r="F30" s="8">
        <v>15.57</v>
      </c>
      <c r="G30" s="12">
        <v>18</v>
      </c>
      <c r="H30" s="8">
        <v>3.83</v>
      </c>
      <c r="I30" s="12">
        <v>0</v>
      </c>
    </row>
    <row r="31" spans="2:9" ht="15" customHeight="1" x14ac:dyDescent="0.15">
      <c r="B31" t="s">
        <v>85</v>
      </c>
      <c r="C31" s="12">
        <v>95</v>
      </c>
      <c r="D31" s="8">
        <v>8.25</v>
      </c>
      <c r="E31" s="12">
        <v>42</v>
      </c>
      <c r="F31" s="8">
        <v>6.17</v>
      </c>
      <c r="G31" s="12">
        <v>53</v>
      </c>
      <c r="H31" s="8">
        <v>11.28</v>
      </c>
      <c r="I31" s="12">
        <v>0</v>
      </c>
    </row>
    <row r="32" spans="2:9" ht="15" customHeight="1" x14ac:dyDescent="0.15">
      <c r="B32" t="s">
        <v>94</v>
      </c>
      <c r="C32" s="12">
        <v>88</v>
      </c>
      <c r="D32" s="8">
        <v>7.64</v>
      </c>
      <c r="E32" s="12">
        <v>45</v>
      </c>
      <c r="F32" s="8">
        <v>6.61</v>
      </c>
      <c r="G32" s="12">
        <v>43</v>
      </c>
      <c r="H32" s="8">
        <v>9.15</v>
      </c>
      <c r="I32" s="12">
        <v>0</v>
      </c>
    </row>
    <row r="33" spans="2:9" ht="15" customHeight="1" x14ac:dyDescent="0.15">
      <c r="B33" t="s">
        <v>92</v>
      </c>
      <c r="C33" s="12">
        <v>84</v>
      </c>
      <c r="D33" s="8">
        <v>7.29</v>
      </c>
      <c r="E33" s="12">
        <v>45</v>
      </c>
      <c r="F33" s="8">
        <v>6.61</v>
      </c>
      <c r="G33" s="12">
        <v>39</v>
      </c>
      <c r="H33" s="8">
        <v>8.3000000000000007</v>
      </c>
      <c r="I33" s="12">
        <v>0</v>
      </c>
    </row>
    <row r="34" spans="2:9" ht="15" customHeight="1" x14ac:dyDescent="0.15">
      <c r="B34" t="s">
        <v>96</v>
      </c>
      <c r="C34" s="12">
        <v>80</v>
      </c>
      <c r="D34" s="8">
        <v>6.94</v>
      </c>
      <c r="E34" s="12">
        <v>48</v>
      </c>
      <c r="F34" s="8">
        <v>7.05</v>
      </c>
      <c r="G34" s="12">
        <v>32</v>
      </c>
      <c r="H34" s="8">
        <v>6.81</v>
      </c>
      <c r="I34" s="12">
        <v>0</v>
      </c>
    </row>
    <row r="35" spans="2:9" ht="15" customHeight="1" x14ac:dyDescent="0.15">
      <c r="B35" t="s">
        <v>86</v>
      </c>
      <c r="C35" s="12">
        <v>51</v>
      </c>
      <c r="D35" s="8">
        <v>4.43</v>
      </c>
      <c r="E35" s="12">
        <v>31</v>
      </c>
      <c r="F35" s="8">
        <v>4.55</v>
      </c>
      <c r="G35" s="12">
        <v>20</v>
      </c>
      <c r="H35" s="8">
        <v>4.26</v>
      </c>
      <c r="I35" s="12">
        <v>0</v>
      </c>
    </row>
    <row r="36" spans="2:9" ht="15" customHeight="1" x14ac:dyDescent="0.15">
      <c r="B36" t="s">
        <v>107</v>
      </c>
      <c r="C36" s="12">
        <v>44</v>
      </c>
      <c r="D36" s="8">
        <v>3.82</v>
      </c>
      <c r="E36" s="12">
        <v>8</v>
      </c>
      <c r="F36" s="8">
        <v>1.17</v>
      </c>
      <c r="G36" s="12">
        <v>36</v>
      </c>
      <c r="H36" s="8">
        <v>7.66</v>
      </c>
      <c r="I36" s="12">
        <v>0</v>
      </c>
    </row>
    <row r="37" spans="2:9" ht="15" customHeight="1" x14ac:dyDescent="0.15">
      <c r="B37" t="s">
        <v>103</v>
      </c>
      <c r="C37" s="12">
        <v>36</v>
      </c>
      <c r="D37" s="8">
        <v>3.13</v>
      </c>
      <c r="E37" s="12">
        <v>27</v>
      </c>
      <c r="F37" s="8">
        <v>3.96</v>
      </c>
      <c r="G37" s="12">
        <v>9</v>
      </c>
      <c r="H37" s="8">
        <v>1.91</v>
      </c>
      <c r="I37" s="12">
        <v>0</v>
      </c>
    </row>
    <row r="38" spans="2:9" ht="15" customHeight="1" x14ac:dyDescent="0.15">
      <c r="B38" t="s">
        <v>116</v>
      </c>
      <c r="C38" s="12">
        <v>33</v>
      </c>
      <c r="D38" s="8">
        <v>2.86</v>
      </c>
      <c r="E38" s="12">
        <v>28</v>
      </c>
      <c r="F38" s="8">
        <v>4.1100000000000003</v>
      </c>
      <c r="G38" s="12">
        <v>5</v>
      </c>
      <c r="H38" s="8">
        <v>1.06</v>
      </c>
      <c r="I38" s="12">
        <v>0</v>
      </c>
    </row>
    <row r="39" spans="2:9" ht="15" customHeight="1" x14ac:dyDescent="0.15">
      <c r="B39" t="s">
        <v>93</v>
      </c>
      <c r="C39" s="12">
        <v>32</v>
      </c>
      <c r="D39" s="8">
        <v>2.78</v>
      </c>
      <c r="E39" s="12">
        <v>9</v>
      </c>
      <c r="F39" s="8">
        <v>1.32</v>
      </c>
      <c r="G39" s="12">
        <v>23</v>
      </c>
      <c r="H39" s="8">
        <v>4.8899999999999997</v>
      </c>
      <c r="I39" s="12">
        <v>0</v>
      </c>
    </row>
    <row r="40" spans="2:9" ht="15" customHeight="1" x14ac:dyDescent="0.15">
      <c r="B40" t="s">
        <v>111</v>
      </c>
      <c r="C40" s="12">
        <v>29</v>
      </c>
      <c r="D40" s="8">
        <v>2.52</v>
      </c>
      <c r="E40" s="12">
        <v>21</v>
      </c>
      <c r="F40" s="8">
        <v>3.08</v>
      </c>
      <c r="G40" s="12">
        <v>8</v>
      </c>
      <c r="H40" s="8">
        <v>1.7</v>
      </c>
      <c r="I40" s="12">
        <v>0</v>
      </c>
    </row>
    <row r="41" spans="2:9" ht="15" customHeight="1" x14ac:dyDescent="0.15">
      <c r="B41" t="s">
        <v>102</v>
      </c>
      <c r="C41" s="12">
        <v>29</v>
      </c>
      <c r="D41" s="8">
        <v>2.52</v>
      </c>
      <c r="E41" s="12">
        <v>23</v>
      </c>
      <c r="F41" s="8">
        <v>3.38</v>
      </c>
      <c r="G41" s="12">
        <v>6</v>
      </c>
      <c r="H41" s="8">
        <v>1.28</v>
      </c>
      <c r="I41" s="12">
        <v>0</v>
      </c>
    </row>
    <row r="42" spans="2:9" ht="15" customHeight="1" x14ac:dyDescent="0.15">
      <c r="B42" t="s">
        <v>87</v>
      </c>
      <c r="C42" s="12">
        <v>26</v>
      </c>
      <c r="D42" s="8">
        <v>2.2599999999999998</v>
      </c>
      <c r="E42" s="12">
        <v>7</v>
      </c>
      <c r="F42" s="8">
        <v>1.03</v>
      </c>
      <c r="G42" s="12">
        <v>19</v>
      </c>
      <c r="H42" s="8">
        <v>4.04</v>
      </c>
      <c r="I42" s="12">
        <v>0</v>
      </c>
    </row>
    <row r="43" spans="2:9" ht="15" customHeight="1" x14ac:dyDescent="0.15">
      <c r="B43" t="s">
        <v>91</v>
      </c>
      <c r="C43" s="12">
        <v>25</v>
      </c>
      <c r="D43" s="8">
        <v>2.17</v>
      </c>
      <c r="E43" s="12">
        <v>14</v>
      </c>
      <c r="F43" s="8">
        <v>2.06</v>
      </c>
      <c r="G43" s="12">
        <v>11</v>
      </c>
      <c r="H43" s="8">
        <v>2.34</v>
      </c>
      <c r="I43" s="12">
        <v>0</v>
      </c>
    </row>
    <row r="44" spans="2:9" ht="15" customHeight="1" x14ac:dyDescent="0.15">
      <c r="B44" t="s">
        <v>121</v>
      </c>
      <c r="C44" s="12">
        <v>19</v>
      </c>
      <c r="D44" s="8">
        <v>1.65</v>
      </c>
      <c r="E44" s="12">
        <v>2</v>
      </c>
      <c r="F44" s="8">
        <v>0.28999999999999998</v>
      </c>
      <c r="G44" s="12">
        <v>17</v>
      </c>
      <c r="H44" s="8">
        <v>3.62</v>
      </c>
      <c r="I44" s="12">
        <v>0</v>
      </c>
    </row>
    <row r="45" spans="2:9" ht="15" customHeight="1" x14ac:dyDescent="0.15">
      <c r="B45" t="s">
        <v>120</v>
      </c>
      <c r="C45" s="12">
        <v>17</v>
      </c>
      <c r="D45" s="8">
        <v>1.48</v>
      </c>
      <c r="E45" s="12">
        <v>5</v>
      </c>
      <c r="F45" s="8">
        <v>0.73</v>
      </c>
      <c r="G45" s="12">
        <v>12</v>
      </c>
      <c r="H45" s="8">
        <v>2.5499999999999998</v>
      </c>
      <c r="I45" s="12">
        <v>0</v>
      </c>
    </row>
    <row r="46" spans="2:9" ht="15" customHeight="1" x14ac:dyDescent="0.15">
      <c r="B46" t="s">
        <v>98</v>
      </c>
      <c r="C46" s="12">
        <v>15</v>
      </c>
      <c r="D46" s="8">
        <v>1.3</v>
      </c>
      <c r="E46" s="12">
        <v>7</v>
      </c>
      <c r="F46" s="8">
        <v>1.03</v>
      </c>
      <c r="G46" s="12">
        <v>8</v>
      </c>
      <c r="H46" s="8">
        <v>1.7</v>
      </c>
      <c r="I46" s="12">
        <v>0</v>
      </c>
    </row>
    <row r="47" spans="2:9" ht="15" customHeight="1" x14ac:dyDescent="0.15">
      <c r="B47" t="s">
        <v>101</v>
      </c>
      <c r="C47" s="12">
        <v>13</v>
      </c>
      <c r="D47" s="8">
        <v>1.1299999999999999</v>
      </c>
      <c r="E47" s="12">
        <v>4</v>
      </c>
      <c r="F47" s="8">
        <v>0.59</v>
      </c>
      <c r="G47" s="12">
        <v>9</v>
      </c>
      <c r="H47" s="8">
        <v>1.91</v>
      </c>
      <c r="I47" s="12">
        <v>0</v>
      </c>
    </row>
    <row r="48" spans="2:9" ht="15" customHeight="1" x14ac:dyDescent="0.15">
      <c r="B48" t="s">
        <v>97</v>
      </c>
      <c r="C48" s="12">
        <v>11</v>
      </c>
      <c r="D48" s="8">
        <v>0.95</v>
      </c>
      <c r="E48" s="12">
        <v>8</v>
      </c>
      <c r="F48" s="8">
        <v>1.17</v>
      </c>
      <c r="G48" s="12">
        <v>3</v>
      </c>
      <c r="H48" s="8">
        <v>0.64</v>
      </c>
      <c r="I48" s="12">
        <v>0</v>
      </c>
    </row>
    <row r="51" spans="2:9" ht="33" customHeight="1" x14ac:dyDescent="0.15">
      <c r="B51" t="s">
        <v>365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155</v>
      </c>
      <c r="C52" s="12">
        <v>60</v>
      </c>
      <c r="D52" s="8">
        <v>5.21</v>
      </c>
      <c r="E52" s="12">
        <v>52</v>
      </c>
      <c r="F52" s="8">
        <v>7.64</v>
      </c>
      <c r="G52" s="12">
        <v>8</v>
      </c>
      <c r="H52" s="8">
        <v>1.7</v>
      </c>
      <c r="I52" s="12">
        <v>0</v>
      </c>
    </row>
    <row r="53" spans="2:9" ht="15" customHeight="1" x14ac:dyDescent="0.15">
      <c r="B53" t="s">
        <v>152</v>
      </c>
      <c r="C53" s="12">
        <v>45</v>
      </c>
      <c r="D53" s="8">
        <v>3.91</v>
      </c>
      <c r="E53" s="12">
        <v>44</v>
      </c>
      <c r="F53" s="8">
        <v>6.46</v>
      </c>
      <c r="G53" s="12">
        <v>1</v>
      </c>
      <c r="H53" s="8">
        <v>0.21</v>
      </c>
      <c r="I53" s="12">
        <v>0</v>
      </c>
    </row>
    <row r="54" spans="2:9" ht="15" customHeight="1" x14ac:dyDescent="0.15">
      <c r="B54" t="s">
        <v>148</v>
      </c>
      <c r="C54" s="12">
        <v>44</v>
      </c>
      <c r="D54" s="8">
        <v>3.82</v>
      </c>
      <c r="E54" s="12">
        <v>32</v>
      </c>
      <c r="F54" s="8">
        <v>4.7</v>
      </c>
      <c r="G54" s="12">
        <v>12</v>
      </c>
      <c r="H54" s="8">
        <v>2.5499999999999998</v>
      </c>
      <c r="I54" s="12">
        <v>0</v>
      </c>
    </row>
    <row r="55" spans="2:9" ht="15" customHeight="1" x14ac:dyDescent="0.15">
      <c r="B55" t="s">
        <v>154</v>
      </c>
      <c r="C55" s="12">
        <v>43</v>
      </c>
      <c r="D55" s="8">
        <v>3.73</v>
      </c>
      <c r="E55" s="12">
        <v>41</v>
      </c>
      <c r="F55" s="8">
        <v>6.02</v>
      </c>
      <c r="G55" s="12">
        <v>2</v>
      </c>
      <c r="H55" s="8">
        <v>0.43</v>
      </c>
      <c r="I55" s="12">
        <v>0</v>
      </c>
    </row>
    <row r="56" spans="2:9" ht="15" customHeight="1" x14ac:dyDescent="0.15">
      <c r="B56" t="s">
        <v>186</v>
      </c>
      <c r="C56" s="12">
        <v>40</v>
      </c>
      <c r="D56" s="8">
        <v>3.47</v>
      </c>
      <c r="E56" s="12">
        <v>8</v>
      </c>
      <c r="F56" s="8">
        <v>1.17</v>
      </c>
      <c r="G56" s="12">
        <v>32</v>
      </c>
      <c r="H56" s="8">
        <v>6.81</v>
      </c>
      <c r="I56" s="12">
        <v>0</v>
      </c>
    </row>
    <row r="57" spans="2:9" ht="15" customHeight="1" x14ac:dyDescent="0.15">
      <c r="B57" t="s">
        <v>151</v>
      </c>
      <c r="C57" s="12">
        <v>39</v>
      </c>
      <c r="D57" s="8">
        <v>3.39</v>
      </c>
      <c r="E57" s="12">
        <v>35</v>
      </c>
      <c r="F57" s="8">
        <v>5.14</v>
      </c>
      <c r="G57" s="12">
        <v>4</v>
      </c>
      <c r="H57" s="8">
        <v>0.85</v>
      </c>
      <c r="I57" s="12">
        <v>0</v>
      </c>
    </row>
    <row r="58" spans="2:9" ht="15" customHeight="1" x14ac:dyDescent="0.15">
      <c r="B58" t="s">
        <v>174</v>
      </c>
      <c r="C58" s="12">
        <v>37</v>
      </c>
      <c r="D58" s="8">
        <v>3.21</v>
      </c>
      <c r="E58" s="12">
        <v>23</v>
      </c>
      <c r="F58" s="8">
        <v>3.38</v>
      </c>
      <c r="G58" s="12">
        <v>14</v>
      </c>
      <c r="H58" s="8">
        <v>2.98</v>
      </c>
      <c r="I58" s="12">
        <v>0</v>
      </c>
    </row>
    <row r="59" spans="2:9" ht="15" customHeight="1" x14ac:dyDescent="0.15">
      <c r="B59" t="s">
        <v>150</v>
      </c>
      <c r="C59" s="12">
        <v>36</v>
      </c>
      <c r="D59" s="8">
        <v>3.13</v>
      </c>
      <c r="E59" s="12">
        <v>27</v>
      </c>
      <c r="F59" s="8">
        <v>3.96</v>
      </c>
      <c r="G59" s="12">
        <v>9</v>
      </c>
      <c r="H59" s="8">
        <v>1.91</v>
      </c>
      <c r="I59" s="12">
        <v>0</v>
      </c>
    </row>
    <row r="60" spans="2:9" ht="15" customHeight="1" x14ac:dyDescent="0.15">
      <c r="B60" t="s">
        <v>145</v>
      </c>
      <c r="C60" s="12">
        <v>33</v>
      </c>
      <c r="D60" s="8">
        <v>2.86</v>
      </c>
      <c r="E60" s="12">
        <v>22</v>
      </c>
      <c r="F60" s="8">
        <v>3.23</v>
      </c>
      <c r="G60" s="12">
        <v>11</v>
      </c>
      <c r="H60" s="8">
        <v>2.34</v>
      </c>
      <c r="I60" s="12">
        <v>0</v>
      </c>
    </row>
    <row r="61" spans="2:9" ht="15" customHeight="1" x14ac:dyDescent="0.15">
      <c r="B61" t="s">
        <v>143</v>
      </c>
      <c r="C61" s="12">
        <v>30</v>
      </c>
      <c r="D61" s="8">
        <v>2.6</v>
      </c>
      <c r="E61" s="12">
        <v>18</v>
      </c>
      <c r="F61" s="8">
        <v>2.64</v>
      </c>
      <c r="G61" s="12">
        <v>12</v>
      </c>
      <c r="H61" s="8">
        <v>2.5499999999999998</v>
      </c>
      <c r="I61" s="12">
        <v>0</v>
      </c>
    </row>
    <row r="62" spans="2:9" ht="15" customHeight="1" x14ac:dyDescent="0.15">
      <c r="B62" t="s">
        <v>188</v>
      </c>
      <c r="C62" s="12">
        <v>30</v>
      </c>
      <c r="D62" s="8">
        <v>2.6</v>
      </c>
      <c r="E62" s="12">
        <v>27</v>
      </c>
      <c r="F62" s="8">
        <v>3.96</v>
      </c>
      <c r="G62" s="12">
        <v>3</v>
      </c>
      <c r="H62" s="8">
        <v>0.64</v>
      </c>
      <c r="I62" s="12">
        <v>0</v>
      </c>
    </row>
    <row r="63" spans="2:9" ht="15" customHeight="1" x14ac:dyDescent="0.15">
      <c r="B63" t="s">
        <v>187</v>
      </c>
      <c r="C63" s="12">
        <v>26</v>
      </c>
      <c r="D63" s="8">
        <v>2.2599999999999998</v>
      </c>
      <c r="E63" s="12">
        <v>20</v>
      </c>
      <c r="F63" s="8">
        <v>2.94</v>
      </c>
      <c r="G63" s="12">
        <v>6</v>
      </c>
      <c r="H63" s="8">
        <v>1.28</v>
      </c>
      <c r="I63" s="12">
        <v>0</v>
      </c>
    </row>
    <row r="64" spans="2:9" ht="15" customHeight="1" x14ac:dyDescent="0.15">
      <c r="B64" t="s">
        <v>157</v>
      </c>
      <c r="C64" s="12">
        <v>25</v>
      </c>
      <c r="D64" s="8">
        <v>2.17</v>
      </c>
      <c r="E64" s="12">
        <v>20</v>
      </c>
      <c r="F64" s="8">
        <v>2.94</v>
      </c>
      <c r="G64" s="12">
        <v>5</v>
      </c>
      <c r="H64" s="8">
        <v>1.06</v>
      </c>
      <c r="I64" s="12">
        <v>0</v>
      </c>
    </row>
    <row r="65" spans="2:9" ht="15" customHeight="1" x14ac:dyDescent="0.15">
      <c r="B65" t="s">
        <v>138</v>
      </c>
      <c r="C65" s="12">
        <v>23</v>
      </c>
      <c r="D65" s="8">
        <v>2</v>
      </c>
      <c r="E65" s="12">
        <v>4</v>
      </c>
      <c r="F65" s="8">
        <v>0.59</v>
      </c>
      <c r="G65" s="12">
        <v>19</v>
      </c>
      <c r="H65" s="8">
        <v>4.04</v>
      </c>
      <c r="I65" s="12">
        <v>0</v>
      </c>
    </row>
    <row r="66" spans="2:9" ht="15" customHeight="1" x14ac:dyDescent="0.15">
      <c r="B66" t="s">
        <v>139</v>
      </c>
      <c r="C66" s="12">
        <v>21</v>
      </c>
      <c r="D66" s="8">
        <v>1.82</v>
      </c>
      <c r="E66" s="12">
        <v>8</v>
      </c>
      <c r="F66" s="8">
        <v>1.17</v>
      </c>
      <c r="G66" s="12">
        <v>13</v>
      </c>
      <c r="H66" s="8">
        <v>2.77</v>
      </c>
      <c r="I66" s="12">
        <v>0</v>
      </c>
    </row>
    <row r="67" spans="2:9" ht="15" customHeight="1" x14ac:dyDescent="0.15">
      <c r="B67" t="s">
        <v>166</v>
      </c>
      <c r="C67" s="12">
        <v>20</v>
      </c>
      <c r="D67" s="8">
        <v>1.74</v>
      </c>
      <c r="E67" s="12">
        <v>14</v>
      </c>
      <c r="F67" s="8">
        <v>2.06</v>
      </c>
      <c r="G67" s="12">
        <v>6</v>
      </c>
      <c r="H67" s="8">
        <v>1.28</v>
      </c>
      <c r="I67" s="12">
        <v>0</v>
      </c>
    </row>
    <row r="68" spans="2:9" ht="15" customHeight="1" x14ac:dyDescent="0.15">
      <c r="B68" t="s">
        <v>170</v>
      </c>
      <c r="C68" s="12">
        <v>20</v>
      </c>
      <c r="D68" s="8">
        <v>1.74</v>
      </c>
      <c r="E68" s="12">
        <v>20</v>
      </c>
      <c r="F68" s="8">
        <v>2.94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156</v>
      </c>
      <c r="C69" s="12">
        <v>20</v>
      </c>
      <c r="D69" s="8">
        <v>1.74</v>
      </c>
      <c r="E69" s="12">
        <v>16</v>
      </c>
      <c r="F69" s="8">
        <v>2.35</v>
      </c>
      <c r="G69" s="12">
        <v>4</v>
      </c>
      <c r="H69" s="8">
        <v>0.85</v>
      </c>
      <c r="I69" s="12">
        <v>0</v>
      </c>
    </row>
    <row r="70" spans="2:9" ht="15" customHeight="1" x14ac:dyDescent="0.15">
      <c r="B70" t="s">
        <v>183</v>
      </c>
      <c r="C70" s="12">
        <v>19</v>
      </c>
      <c r="D70" s="8">
        <v>1.65</v>
      </c>
      <c r="E70" s="12">
        <v>18</v>
      </c>
      <c r="F70" s="8">
        <v>2.64</v>
      </c>
      <c r="G70" s="12">
        <v>1</v>
      </c>
      <c r="H70" s="8">
        <v>0.21</v>
      </c>
      <c r="I70" s="12">
        <v>0</v>
      </c>
    </row>
    <row r="71" spans="2:9" ht="15" customHeight="1" x14ac:dyDescent="0.15">
      <c r="B71" t="s">
        <v>144</v>
      </c>
      <c r="C71" s="12">
        <v>17</v>
      </c>
      <c r="D71" s="8">
        <v>1.48</v>
      </c>
      <c r="E71" s="12">
        <v>3</v>
      </c>
      <c r="F71" s="8">
        <v>0.44</v>
      </c>
      <c r="G71" s="12">
        <v>14</v>
      </c>
      <c r="H71" s="8">
        <v>2.98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388</v>
      </c>
      <c r="D6" s="8">
        <v>14.13</v>
      </c>
      <c r="E6" s="12">
        <v>88</v>
      </c>
      <c r="F6" s="8">
        <v>6.32</v>
      </c>
      <c r="G6" s="12">
        <v>300</v>
      </c>
      <c r="H6" s="8">
        <v>22.22</v>
      </c>
      <c r="I6" s="12">
        <v>0</v>
      </c>
    </row>
    <row r="7" spans="2:9" ht="15" customHeight="1" x14ac:dyDescent="0.15">
      <c r="B7" t="s">
        <v>64</v>
      </c>
      <c r="C7" s="12">
        <v>243</v>
      </c>
      <c r="D7" s="8">
        <v>8.85</v>
      </c>
      <c r="E7" s="12">
        <v>59</v>
      </c>
      <c r="F7" s="8">
        <v>4.24</v>
      </c>
      <c r="G7" s="12">
        <v>184</v>
      </c>
      <c r="H7" s="8">
        <v>13.63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18</v>
      </c>
      <c r="D9" s="8">
        <v>0.66</v>
      </c>
      <c r="E9" s="12">
        <v>2</v>
      </c>
      <c r="F9" s="8">
        <v>0.14000000000000001</v>
      </c>
      <c r="G9" s="12">
        <v>15</v>
      </c>
      <c r="H9" s="8">
        <v>1.1100000000000001</v>
      </c>
      <c r="I9" s="12">
        <v>1</v>
      </c>
    </row>
    <row r="10" spans="2:9" ht="15" customHeight="1" x14ac:dyDescent="0.15">
      <c r="B10" t="s">
        <v>67</v>
      </c>
      <c r="C10" s="12">
        <v>16</v>
      </c>
      <c r="D10" s="8">
        <v>0.57999999999999996</v>
      </c>
      <c r="E10" s="12">
        <v>1</v>
      </c>
      <c r="F10" s="8">
        <v>7.0000000000000007E-2</v>
      </c>
      <c r="G10" s="12">
        <v>15</v>
      </c>
      <c r="H10" s="8">
        <v>1.1100000000000001</v>
      </c>
      <c r="I10" s="12">
        <v>0</v>
      </c>
    </row>
    <row r="11" spans="2:9" ht="15" customHeight="1" x14ac:dyDescent="0.15">
      <c r="B11" t="s">
        <v>68</v>
      </c>
      <c r="C11" s="12">
        <v>600</v>
      </c>
      <c r="D11" s="8">
        <v>21.85</v>
      </c>
      <c r="E11" s="12">
        <v>264</v>
      </c>
      <c r="F11" s="8">
        <v>18.95</v>
      </c>
      <c r="G11" s="12">
        <v>335</v>
      </c>
      <c r="H11" s="8">
        <v>24.81</v>
      </c>
      <c r="I11" s="12">
        <v>1</v>
      </c>
    </row>
    <row r="12" spans="2:9" ht="15" customHeight="1" x14ac:dyDescent="0.15">
      <c r="B12" t="s">
        <v>69</v>
      </c>
      <c r="C12" s="12">
        <v>14</v>
      </c>
      <c r="D12" s="8">
        <v>0.51</v>
      </c>
      <c r="E12" s="12">
        <v>1</v>
      </c>
      <c r="F12" s="8">
        <v>7.0000000000000007E-2</v>
      </c>
      <c r="G12" s="12">
        <v>13</v>
      </c>
      <c r="H12" s="8">
        <v>0.96</v>
      </c>
      <c r="I12" s="12">
        <v>0</v>
      </c>
    </row>
    <row r="13" spans="2:9" ht="15" customHeight="1" x14ac:dyDescent="0.15">
      <c r="B13" t="s">
        <v>70</v>
      </c>
      <c r="C13" s="12">
        <v>347</v>
      </c>
      <c r="D13" s="8">
        <v>12.64</v>
      </c>
      <c r="E13" s="12">
        <v>164</v>
      </c>
      <c r="F13" s="8">
        <v>11.77</v>
      </c>
      <c r="G13" s="12">
        <v>183</v>
      </c>
      <c r="H13" s="8">
        <v>13.56</v>
      </c>
      <c r="I13" s="12">
        <v>0</v>
      </c>
    </row>
    <row r="14" spans="2:9" ht="15" customHeight="1" x14ac:dyDescent="0.15">
      <c r="B14" t="s">
        <v>71</v>
      </c>
      <c r="C14" s="12">
        <v>116</v>
      </c>
      <c r="D14" s="8">
        <v>4.22</v>
      </c>
      <c r="E14" s="12">
        <v>66</v>
      </c>
      <c r="F14" s="8">
        <v>4.74</v>
      </c>
      <c r="G14" s="12">
        <v>50</v>
      </c>
      <c r="H14" s="8">
        <v>3.7</v>
      </c>
      <c r="I14" s="12">
        <v>0</v>
      </c>
    </row>
    <row r="15" spans="2:9" ht="15" customHeight="1" x14ac:dyDescent="0.15">
      <c r="B15" t="s">
        <v>72</v>
      </c>
      <c r="C15" s="12">
        <v>311</v>
      </c>
      <c r="D15" s="8">
        <v>11.33</v>
      </c>
      <c r="E15" s="12">
        <v>260</v>
      </c>
      <c r="F15" s="8">
        <v>18.66</v>
      </c>
      <c r="G15" s="12">
        <v>51</v>
      </c>
      <c r="H15" s="8">
        <v>3.78</v>
      </c>
      <c r="I15" s="12">
        <v>0</v>
      </c>
    </row>
    <row r="16" spans="2:9" ht="15" customHeight="1" x14ac:dyDescent="0.15">
      <c r="B16" t="s">
        <v>73</v>
      </c>
      <c r="C16" s="12">
        <v>357</v>
      </c>
      <c r="D16" s="8">
        <v>13</v>
      </c>
      <c r="E16" s="12">
        <v>268</v>
      </c>
      <c r="F16" s="8">
        <v>19.239999999999998</v>
      </c>
      <c r="G16" s="12">
        <v>89</v>
      </c>
      <c r="H16" s="8">
        <v>6.59</v>
      </c>
      <c r="I16" s="12">
        <v>0</v>
      </c>
    </row>
    <row r="17" spans="2:9" ht="15" customHeight="1" x14ac:dyDescent="0.15">
      <c r="B17" t="s">
        <v>74</v>
      </c>
      <c r="C17" s="12">
        <v>146</v>
      </c>
      <c r="D17" s="8">
        <v>5.32</v>
      </c>
      <c r="E17" s="12">
        <v>113</v>
      </c>
      <c r="F17" s="8">
        <v>8.11</v>
      </c>
      <c r="G17" s="12">
        <v>33</v>
      </c>
      <c r="H17" s="8">
        <v>2.44</v>
      </c>
      <c r="I17" s="12">
        <v>0</v>
      </c>
    </row>
    <row r="18" spans="2:9" ht="15" customHeight="1" x14ac:dyDescent="0.15">
      <c r="B18" t="s">
        <v>75</v>
      </c>
      <c r="C18" s="12">
        <v>125</v>
      </c>
      <c r="D18" s="8">
        <v>4.55</v>
      </c>
      <c r="E18" s="12">
        <v>90</v>
      </c>
      <c r="F18" s="8">
        <v>6.46</v>
      </c>
      <c r="G18" s="12">
        <v>35</v>
      </c>
      <c r="H18" s="8">
        <v>2.59</v>
      </c>
      <c r="I18" s="12">
        <v>0</v>
      </c>
    </row>
    <row r="19" spans="2:9" ht="15" customHeight="1" x14ac:dyDescent="0.15">
      <c r="B19" t="s">
        <v>76</v>
      </c>
      <c r="C19" s="12">
        <v>65</v>
      </c>
      <c r="D19" s="8">
        <v>2.37</v>
      </c>
      <c r="E19" s="12">
        <v>17</v>
      </c>
      <c r="F19" s="8">
        <v>1.22</v>
      </c>
      <c r="G19" s="12">
        <v>47</v>
      </c>
      <c r="H19" s="8">
        <v>3.48</v>
      </c>
      <c r="I19" s="12">
        <v>1</v>
      </c>
    </row>
    <row r="20" spans="2:9" ht="15" customHeight="1" x14ac:dyDescent="0.15">
      <c r="B20" s="9" t="s">
        <v>216</v>
      </c>
      <c r="C20" s="12">
        <f>SUM(LTBL_14211[総数／事業所数])</f>
        <v>2746</v>
      </c>
      <c r="E20" s="12">
        <f>SUBTOTAL(109,LTBL_14211[個人／事業所数])</f>
        <v>1393</v>
      </c>
      <c r="G20" s="12">
        <f>SUBTOTAL(109,LTBL_14211[法人／事業所数])</f>
        <v>1350</v>
      </c>
      <c r="I20" s="12">
        <f>SUBTOTAL(109,LTBL_14211[法人以外の団体／事業所数])</f>
        <v>3</v>
      </c>
    </row>
    <row r="21" spans="2:9" ht="15" customHeight="1" x14ac:dyDescent="0.15">
      <c r="E21" s="11">
        <f>LTBL_14211[[#Totals],[個人／事業所数]]/LTBL_14211[[#Totals],[総数／事業所数]]</f>
        <v>0.50728332119446473</v>
      </c>
      <c r="G21" s="11">
        <f>LTBL_14211[[#Totals],[法人／事業所数]]/LTBL_14211[[#Totals],[総数／事業所数]]</f>
        <v>0.49162418062636565</v>
      </c>
      <c r="I21" s="11">
        <f>LTBL_14211[[#Totals],[法人以外の団体／事業所数]]/LTBL_14211[[#Totals],[総数／事業所数]]</f>
        <v>1.0924981791697013E-3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367</v>
      </c>
      <c r="G23" s="10" t="s">
        <v>82</v>
      </c>
      <c r="H23" s="10" t="s">
        <v>368</v>
      </c>
      <c r="I23" s="10" t="s">
        <v>84</v>
      </c>
    </row>
    <row r="24" spans="2:9" ht="15" customHeight="1" x14ac:dyDescent="0.15">
      <c r="B24" t="s">
        <v>218</v>
      </c>
      <c r="C24">
        <v>13</v>
      </c>
      <c r="D24" t="s">
        <v>217</v>
      </c>
      <c r="E24">
        <v>0</v>
      </c>
      <c r="F24" t="s">
        <v>219</v>
      </c>
      <c r="G24">
        <v>13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369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100</v>
      </c>
      <c r="C29" s="12">
        <v>303</v>
      </c>
      <c r="D29" s="8">
        <v>11.03</v>
      </c>
      <c r="E29" s="12">
        <v>239</v>
      </c>
      <c r="F29" s="8">
        <v>17.16</v>
      </c>
      <c r="G29" s="12">
        <v>64</v>
      </c>
      <c r="H29" s="8">
        <v>4.74</v>
      </c>
      <c r="I29" s="12">
        <v>0</v>
      </c>
    </row>
    <row r="30" spans="2:9" ht="15" customHeight="1" x14ac:dyDescent="0.15">
      <c r="B30" t="s">
        <v>99</v>
      </c>
      <c r="C30" s="12">
        <v>285</v>
      </c>
      <c r="D30" s="8">
        <v>10.38</v>
      </c>
      <c r="E30" s="12">
        <v>247</v>
      </c>
      <c r="F30" s="8">
        <v>17.73</v>
      </c>
      <c r="G30" s="12">
        <v>38</v>
      </c>
      <c r="H30" s="8">
        <v>2.81</v>
      </c>
      <c r="I30" s="12">
        <v>0</v>
      </c>
    </row>
    <row r="31" spans="2:9" ht="15" customHeight="1" x14ac:dyDescent="0.15">
      <c r="B31" t="s">
        <v>96</v>
      </c>
      <c r="C31" s="12">
        <v>267</v>
      </c>
      <c r="D31" s="8">
        <v>9.7200000000000006</v>
      </c>
      <c r="E31" s="12">
        <v>153</v>
      </c>
      <c r="F31" s="8">
        <v>10.98</v>
      </c>
      <c r="G31" s="12">
        <v>114</v>
      </c>
      <c r="H31" s="8">
        <v>8.44</v>
      </c>
      <c r="I31" s="12">
        <v>0</v>
      </c>
    </row>
    <row r="32" spans="2:9" ht="15" customHeight="1" x14ac:dyDescent="0.15">
      <c r="B32" t="s">
        <v>85</v>
      </c>
      <c r="C32" s="12">
        <v>177</v>
      </c>
      <c r="D32" s="8">
        <v>6.45</v>
      </c>
      <c r="E32" s="12">
        <v>33</v>
      </c>
      <c r="F32" s="8">
        <v>2.37</v>
      </c>
      <c r="G32" s="12">
        <v>144</v>
      </c>
      <c r="H32" s="8">
        <v>10.67</v>
      </c>
      <c r="I32" s="12">
        <v>0</v>
      </c>
    </row>
    <row r="33" spans="2:9" ht="15" customHeight="1" x14ac:dyDescent="0.15">
      <c r="B33" t="s">
        <v>94</v>
      </c>
      <c r="C33" s="12">
        <v>175</v>
      </c>
      <c r="D33" s="8">
        <v>6.37</v>
      </c>
      <c r="E33" s="12">
        <v>71</v>
      </c>
      <c r="F33" s="8">
        <v>5.0999999999999996</v>
      </c>
      <c r="G33" s="12">
        <v>104</v>
      </c>
      <c r="H33" s="8">
        <v>7.7</v>
      </c>
      <c r="I33" s="12">
        <v>0</v>
      </c>
    </row>
    <row r="34" spans="2:9" ht="15" customHeight="1" x14ac:dyDescent="0.15">
      <c r="B34" t="s">
        <v>92</v>
      </c>
      <c r="C34" s="12">
        <v>170</v>
      </c>
      <c r="D34" s="8">
        <v>6.19</v>
      </c>
      <c r="E34" s="12">
        <v>107</v>
      </c>
      <c r="F34" s="8">
        <v>7.68</v>
      </c>
      <c r="G34" s="12">
        <v>63</v>
      </c>
      <c r="H34" s="8">
        <v>4.67</v>
      </c>
      <c r="I34" s="12">
        <v>0</v>
      </c>
    </row>
    <row r="35" spans="2:9" ht="15" customHeight="1" x14ac:dyDescent="0.15">
      <c r="B35" t="s">
        <v>102</v>
      </c>
      <c r="C35" s="12">
        <v>146</v>
      </c>
      <c r="D35" s="8">
        <v>5.32</v>
      </c>
      <c r="E35" s="12">
        <v>113</v>
      </c>
      <c r="F35" s="8">
        <v>8.11</v>
      </c>
      <c r="G35" s="12">
        <v>33</v>
      </c>
      <c r="H35" s="8">
        <v>2.44</v>
      </c>
      <c r="I35" s="12">
        <v>0</v>
      </c>
    </row>
    <row r="36" spans="2:9" ht="15" customHeight="1" x14ac:dyDescent="0.15">
      <c r="B36" t="s">
        <v>86</v>
      </c>
      <c r="C36" s="12">
        <v>117</v>
      </c>
      <c r="D36" s="8">
        <v>4.26</v>
      </c>
      <c r="E36" s="12">
        <v>40</v>
      </c>
      <c r="F36" s="8">
        <v>2.87</v>
      </c>
      <c r="G36" s="12">
        <v>77</v>
      </c>
      <c r="H36" s="8">
        <v>5.7</v>
      </c>
      <c r="I36" s="12">
        <v>0</v>
      </c>
    </row>
    <row r="37" spans="2:9" ht="15" customHeight="1" x14ac:dyDescent="0.15">
      <c r="B37" t="s">
        <v>103</v>
      </c>
      <c r="C37" s="12">
        <v>106</v>
      </c>
      <c r="D37" s="8">
        <v>3.86</v>
      </c>
      <c r="E37" s="12">
        <v>90</v>
      </c>
      <c r="F37" s="8">
        <v>6.46</v>
      </c>
      <c r="G37" s="12">
        <v>16</v>
      </c>
      <c r="H37" s="8">
        <v>1.19</v>
      </c>
      <c r="I37" s="12">
        <v>0</v>
      </c>
    </row>
    <row r="38" spans="2:9" ht="15" customHeight="1" x14ac:dyDescent="0.15">
      <c r="B38" t="s">
        <v>87</v>
      </c>
      <c r="C38" s="12">
        <v>94</v>
      </c>
      <c r="D38" s="8">
        <v>3.42</v>
      </c>
      <c r="E38" s="12">
        <v>15</v>
      </c>
      <c r="F38" s="8">
        <v>1.08</v>
      </c>
      <c r="G38" s="12">
        <v>79</v>
      </c>
      <c r="H38" s="8">
        <v>5.85</v>
      </c>
      <c r="I38" s="12">
        <v>0</v>
      </c>
    </row>
    <row r="39" spans="2:9" ht="15" customHeight="1" x14ac:dyDescent="0.15">
      <c r="B39" t="s">
        <v>93</v>
      </c>
      <c r="C39" s="12">
        <v>81</v>
      </c>
      <c r="D39" s="8">
        <v>2.95</v>
      </c>
      <c r="E39" s="12">
        <v>37</v>
      </c>
      <c r="F39" s="8">
        <v>2.66</v>
      </c>
      <c r="G39" s="12">
        <v>44</v>
      </c>
      <c r="H39" s="8">
        <v>3.26</v>
      </c>
      <c r="I39" s="12">
        <v>0</v>
      </c>
    </row>
    <row r="40" spans="2:9" ht="15" customHeight="1" x14ac:dyDescent="0.15">
      <c r="B40" t="s">
        <v>91</v>
      </c>
      <c r="C40" s="12">
        <v>74</v>
      </c>
      <c r="D40" s="8">
        <v>2.69</v>
      </c>
      <c r="E40" s="12">
        <v>37</v>
      </c>
      <c r="F40" s="8">
        <v>2.66</v>
      </c>
      <c r="G40" s="12">
        <v>37</v>
      </c>
      <c r="H40" s="8">
        <v>2.74</v>
      </c>
      <c r="I40" s="12">
        <v>0</v>
      </c>
    </row>
    <row r="41" spans="2:9" ht="15" customHeight="1" x14ac:dyDescent="0.15">
      <c r="B41" t="s">
        <v>95</v>
      </c>
      <c r="C41" s="12">
        <v>72</v>
      </c>
      <c r="D41" s="8">
        <v>2.62</v>
      </c>
      <c r="E41" s="12">
        <v>8</v>
      </c>
      <c r="F41" s="8">
        <v>0.56999999999999995</v>
      </c>
      <c r="G41" s="12">
        <v>64</v>
      </c>
      <c r="H41" s="8">
        <v>4.74</v>
      </c>
      <c r="I41" s="12">
        <v>0</v>
      </c>
    </row>
    <row r="42" spans="2:9" ht="15" customHeight="1" x14ac:dyDescent="0.15">
      <c r="B42" t="s">
        <v>98</v>
      </c>
      <c r="C42" s="12">
        <v>59</v>
      </c>
      <c r="D42" s="8">
        <v>2.15</v>
      </c>
      <c r="E42" s="12">
        <v>25</v>
      </c>
      <c r="F42" s="8">
        <v>1.79</v>
      </c>
      <c r="G42" s="12">
        <v>34</v>
      </c>
      <c r="H42" s="8">
        <v>2.52</v>
      </c>
      <c r="I42" s="12">
        <v>0</v>
      </c>
    </row>
    <row r="43" spans="2:9" ht="15" customHeight="1" x14ac:dyDescent="0.15">
      <c r="B43" t="s">
        <v>97</v>
      </c>
      <c r="C43" s="12">
        <v>57</v>
      </c>
      <c r="D43" s="8">
        <v>2.08</v>
      </c>
      <c r="E43" s="12">
        <v>41</v>
      </c>
      <c r="F43" s="8">
        <v>2.94</v>
      </c>
      <c r="G43" s="12">
        <v>16</v>
      </c>
      <c r="H43" s="8">
        <v>1.19</v>
      </c>
      <c r="I43" s="12">
        <v>0</v>
      </c>
    </row>
    <row r="44" spans="2:9" ht="15" customHeight="1" x14ac:dyDescent="0.15">
      <c r="B44" t="s">
        <v>89</v>
      </c>
      <c r="C44" s="12">
        <v>44</v>
      </c>
      <c r="D44" s="8">
        <v>1.6</v>
      </c>
      <c r="E44" s="12">
        <v>9</v>
      </c>
      <c r="F44" s="8">
        <v>0.65</v>
      </c>
      <c r="G44" s="12">
        <v>35</v>
      </c>
      <c r="H44" s="8">
        <v>2.59</v>
      </c>
      <c r="I44" s="12">
        <v>0</v>
      </c>
    </row>
    <row r="45" spans="2:9" ht="15" customHeight="1" x14ac:dyDescent="0.15">
      <c r="B45" t="s">
        <v>88</v>
      </c>
      <c r="C45" s="12">
        <v>32</v>
      </c>
      <c r="D45" s="8">
        <v>1.17</v>
      </c>
      <c r="E45" s="12">
        <v>5</v>
      </c>
      <c r="F45" s="8">
        <v>0.36</v>
      </c>
      <c r="G45" s="12">
        <v>27</v>
      </c>
      <c r="H45" s="8">
        <v>2</v>
      </c>
      <c r="I45" s="12">
        <v>0</v>
      </c>
    </row>
    <row r="46" spans="2:9" ht="15" customHeight="1" x14ac:dyDescent="0.15">
      <c r="B46" t="s">
        <v>101</v>
      </c>
      <c r="C46" s="12">
        <v>32</v>
      </c>
      <c r="D46" s="8">
        <v>1.17</v>
      </c>
      <c r="E46" s="12">
        <v>16</v>
      </c>
      <c r="F46" s="8">
        <v>1.1499999999999999</v>
      </c>
      <c r="G46" s="12">
        <v>16</v>
      </c>
      <c r="H46" s="8">
        <v>1.19</v>
      </c>
      <c r="I46" s="12">
        <v>0</v>
      </c>
    </row>
    <row r="47" spans="2:9" ht="15" customHeight="1" x14ac:dyDescent="0.15">
      <c r="B47" t="s">
        <v>106</v>
      </c>
      <c r="C47" s="12">
        <v>29</v>
      </c>
      <c r="D47" s="8">
        <v>1.06</v>
      </c>
      <c r="E47" s="12">
        <v>4</v>
      </c>
      <c r="F47" s="8">
        <v>0.28999999999999998</v>
      </c>
      <c r="G47" s="12">
        <v>24</v>
      </c>
      <c r="H47" s="8">
        <v>1.78</v>
      </c>
      <c r="I47" s="12">
        <v>1</v>
      </c>
    </row>
    <row r="48" spans="2:9" ht="15" customHeight="1" x14ac:dyDescent="0.15">
      <c r="B48" t="s">
        <v>104</v>
      </c>
      <c r="C48" s="12">
        <v>24</v>
      </c>
      <c r="D48" s="8">
        <v>0.87</v>
      </c>
      <c r="E48" s="12">
        <v>3</v>
      </c>
      <c r="F48" s="8">
        <v>0.22</v>
      </c>
      <c r="G48" s="12">
        <v>20</v>
      </c>
      <c r="H48" s="8">
        <v>1.48</v>
      </c>
      <c r="I48" s="12">
        <v>1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176</v>
      </c>
      <c r="D52" s="8">
        <v>6.41</v>
      </c>
      <c r="E52" s="12">
        <v>131</v>
      </c>
      <c r="F52" s="8">
        <v>9.4</v>
      </c>
      <c r="G52" s="12">
        <v>45</v>
      </c>
      <c r="H52" s="8">
        <v>3.33</v>
      </c>
      <c r="I52" s="12">
        <v>0</v>
      </c>
    </row>
    <row r="53" spans="2:9" ht="15" customHeight="1" x14ac:dyDescent="0.15">
      <c r="B53" t="s">
        <v>155</v>
      </c>
      <c r="C53" s="12">
        <v>163</v>
      </c>
      <c r="D53" s="8">
        <v>5.94</v>
      </c>
      <c r="E53" s="12">
        <v>134</v>
      </c>
      <c r="F53" s="8">
        <v>9.6199999999999992</v>
      </c>
      <c r="G53" s="12">
        <v>29</v>
      </c>
      <c r="H53" s="8">
        <v>2.15</v>
      </c>
      <c r="I53" s="12">
        <v>0</v>
      </c>
    </row>
    <row r="54" spans="2:9" ht="15" customHeight="1" x14ac:dyDescent="0.15">
      <c r="B54" t="s">
        <v>156</v>
      </c>
      <c r="C54" s="12">
        <v>102</v>
      </c>
      <c r="D54" s="8">
        <v>3.71</v>
      </c>
      <c r="E54" s="12">
        <v>88</v>
      </c>
      <c r="F54" s="8">
        <v>6.32</v>
      </c>
      <c r="G54" s="12">
        <v>14</v>
      </c>
      <c r="H54" s="8">
        <v>1.04</v>
      </c>
      <c r="I54" s="12">
        <v>0</v>
      </c>
    </row>
    <row r="55" spans="2:9" ht="15" customHeight="1" x14ac:dyDescent="0.15">
      <c r="B55" t="s">
        <v>154</v>
      </c>
      <c r="C55" s="12">
        <v>85</v>
      </c>
      <c r="D55" s="8">
        <v>3.1</v>
      </c>
      <c r="E55" s="12">
        <v>75</v>
      </c>
      <c r="F55" s="8">
        <v>5.38</v>
      </c>
      <c r="G55" s="12">
        <v>10</v>
      </c>
      <c r="H55" s="8">
        <v>0.74</v>
      </c>
      <c r="I55" s="12">
        <v>0</v>
      </c>
    </row>
    <row r="56" spans="2:9" ht="15" customHeight="1" x14ac:dyDescent="0.15">
      <c r="B56" t="s">
        <v>150</v>
      </c>
      <c r="C56" s="12">
        <v>82</v>
      </c>
      <c r="D56" s="8">
        <v>2.99</v>
      </c>
      <c r="E56" s="12">
        <v>68</v>
      </c>
      <c r="F56" s="8">
        <v>4.88</v>
      </c>
      <c r="G56" s="12">
        <v>14</v>
      </c>
      <c r="H56" s="8">
        <v>1.04</v>
      </c>
      <c r="I56" s="12">
        <v>0</v>
      </c>
    </row>
    <row r="57" spans="2:9" ht="15" customHeight="1" x14ac:dyDescent="0.15">
      <c r="B57" t="s">
        <v>157</v>
      </c>
      <c r="C57" s="12">
        <v>69</v>
      </c>
      <c r="D57" s="8">
        <v>2.5099999999999998</v>
      </c>
      <c r="E57" s="12">
        <v>59</v>
      </c>
      <c r="F57" s="8">
        <v>4.24</v>
      </c>
      <c r="G57" s="12">
        <v>10</v>
      </c>
      <c r="H57" s="8">
        <v>0.74</v>
      </c>
      <c r="I57" s="12">
        <v>0</v>
      </c>
    </row>
    <row r="58" spans="2:9" ht="15" customHeight="1" x14ac:dyDescent="0.15">
      <c r="B58" t="s">
        <v>151</v>
      </c>
      <c r="C58" s="12">
        <v>68</v>
      </c>
      <c r="D58" s="8">
        <v>2.48</v>
      </c>
      <c r="E58" s="12">
        <v>60</v>
      </c>
      <c r="F58" s="8">
        <v>4.3099999999999996</v>
      </c>
      <c r="G58" s="12">
        <v>8</v>
      </c>
      <c r="H58" s="8">
        <v>0.59</v>
      </c>
      <c r="I58" s="12">
        <v>0</v>
      </c>
    </row>
    <row r="59" spans="2:9" ht="15" customHeight="1" x14ac:dyDescent="0.15">
      <c r="B59" t="s">
        <v>152</v>
      </c>
      <c r="C59" s="12">
        <v>60</v>
      </c>
      <c r="D59" s="8">
        <v>2.1800000000000002</v>
      </c>
      <c r="E59" s="12">
        <v>59</v>
      </c>
      <c r="F59" s="8">
        <v>4.24</v>
      </c>
      <c r="G59" s="12">
        <v>1</v>
      </c>
      <c r="H59" s="8">
        <v>7.0000000000000007E-2</v>
      </c>
      <c r="I59" s="12">
        <v>0</v>
      </c>
    </row>
    <row r="60" spans="2:9" ht="15" customHeight="1" x14ac:dyDescent="0.15">
      <c r="B60" t="s">
        <v>143</v>
      </c>
      <c r="C60" s="12">
        <v>59</v>
      </c>
      <c r="D60" s="8">
        <v>2.15</v>
      </c>
      <c r="E60" s="12">
        <v>32</v>
      </c>
      <c r="F60" s="8">
        <v>2.2999999999999998</v>
      </c>
      <c r="G60" s="12">
        <v>27</v>
      </c>
      <c r="H60" s="8">
        <v>2</v>
      </c>
      <c r="I60" s="12">
        <v>0</v>
      </c>
    </row>
    <row r="61" spans="2:9" ht="15" customHeight="1" x14ac:dyDescent="0.15">
      <c r="B61" t="s">
        <v>145</v>
      </c>
      <c r="C61" s="12">
        <v>59</v>
      </c>
      <c r="D61" s="8">
        <v>2.15</v>
      </c>
      <c r="E61" s="12">
        <v>31</v>
      </c>
      <c r="F61" s="8">
        <v>2.23</v>
      </c>
      <c r="G61" s="12">
        <v>28</v>
      </c>
      <c r="H61" s="8">
        <v>2.0699999999999998</v>
      </c>
      <c r="I61" s="12">
        <v>0</v>
      </c>
    </row>
    <row r="62" spans="2:9" ht="15" customHeight="1" x14ac:dyDescent="0.15">
      <c r="B62" t="s">
        <v>138</v>
      </c>
      <c r="C62" s="12">
        <v>57</v>
      </c>
      <c r="D62" s="8">
        <v>2.08</v>
      </c>
      <c r="E62" s="12">
        <v>7</v>
      </c>
      <c r="F62" s="8">
        <v>0.5</v>
      </c>
      <c r="G62" s="12">
        <v>50</v>
      </c>
      <c r="H62" s="8">
        <v>3.7</v>
      </c>
      <c r="I62" s="12">
        <v>0</v>
      </c>
    </row>
    <row r="63" spans="2:9" ht="15" customHeight="1" x14ac:dyDescent="0.15">
      <c r="B63" t="s">
        <v>144</v>
      </c>
      <c r="C63" s="12">
        <v>52</v>
      </c>
      <c r="D63" s="8">
        <v>1.89</v>
      </c>
      <c r="E63" s="12">
        <v>19</v>
      </c>
      <c r="F63" s="8">
        <v>1.36</v>
      </c>
      <c r="G63" s="12">
        <v>33</v>
      </c>
      <c r="H63" s="8">
        <v>2.44</v>
      </c>
      <c r="I63" s="12">
        <v>0</v>
      </c>
    </row>
    <row r="64" spans="2:9" ht="15" customHeight="1" x14ac:dyDescent="0.15">
      <c r="B64" t="s">
        <v>146</v>
      </c>
      <c r="C64" s="12">
        <v>50</v>
      </c>
      <c r="D64" s="8">
        <v>1.82</v>
      </c>
      <c r="E64" s="12">
        <v>7</v>
      </c>
      <c r="F64" s="8">
        <v>0.5</v>
      </c>
      <c r="G64" s="12">
        <v>43</v>
      </c>
      <c r="H64" s="8">
        <v>3.19</v>
      </c>
      <c r="I64" s="12">
        <v>0</v>
      </c>
    </row>
    <row r="65" spans="2:9" ht="15" customHeight="1" x14ac:dyDescent="0.15">
      <c r="B65" t="s">
        <v>140</v>
      </c>
      <c r="C65" s="12">
        <v>49</v>
      </c>
      <c r="D65" s="8">
        <v>1.78</v>
      </c>
      <c r="E65" s="12">
        <v>10</v>
      </c>
      <c r="F65" s="8">
        <v>0.72</v>
      </c>
      <c r="G65" s="12">
        <v>39</v>
      </c>
      <c r="H65" s="8">
        <v>2.89</v>
      </c>
      <c r="I65" s="12">
        <v>0</v>
      </c>
    </row>
    <row r="66" spans="2:9" ht="15" customHeight="1" x14ac:dyDescent="0.15">
      <c r="B66" t="s">
        <v>139</v>
      </c>
      <c r="C66" s="12">
        <v>46</v>
      </c>
      <c r="D66" s="8">
        <v>1.68</v>
      </c>
      <c r="E66" s="12">
        <v>5</v>
      </c>
      <c r="F66" s="8">
        <v>0.36</v>
      </c>
      <c r="G66" s="12">
        <v>41</v>
      </c>
      <c r="H66" s="8">
        <v>3.04</v>
      </c>
      <c r="I66" s="12">
        <v>0</v>
      </c>
    </row>
    <row r="67" spans="2:9" ht="15" customHeight="1" x14ac:dyDescent="0.15">
      <c r="B67" t="s">
        <v>174</v>
      </c>
      <c r="C67" s="12">
        <v>44</v>
      </c>
      <c r="D67" s="8">
        <v>1.6</v>
      </c>
      <c r="E67" s="12">
        <v>15</v>
      </c>
      <c r="F67" s="8">
        <v>1.08</v>
      </c>
      <c r="G67" s="12">
        <v>29</v>
      </c>
      <c r="H67" s="8">
        <v>2.15</v>
      </c>
      <c r="I67" s="12">
        <v>0</v>
      </c>
    </row>
    <row r="68" spans="2:9" ht="15" customHeight="1" x14ac:dyDescent="0.15">
      <c r="B68" t="s">
        <v>175</v>
      </c>
      <c r="C68" s="12">
        <v>43</v>
      </c>
      <c r="D68" s="8">
        <v>1.57</v>
      </c>
      <c r="E68" s="12">
        <v>25</v>
      </c>
      <c r="F68" s="8">
        <v>1.79</v>
      </c>
      <c r="G68" s="12">
        <v>18</v>
      </c>
      <c r="H68" s="8">
        <v>1.33</v>
      </c>
      <c r="I68" s="12">
        <v>0</v>
      </c>
    </row>
    <row r="69" spans="2:9" ht="15" customHeight="1" x14ac:dyDescent="0.15">
      <c r="B69" t="s">
        <v>149</v>
      </c>
      <c r="C69" s="12">
        <v>42</v>
      </c>
      <c r="D69" s="8">
        <v>1.53</v>
      </c>
      <c r="E69" s="12">
        <v>4</v>
      </c>
      <c r="F69" s="8">
        <v>0.28999999999999998</v>
      </c>
      <c r="G69" s="12">
        <v>38</v>
      </c>
      <c r="H69" s="8">
        <v>2.81</v>
      </c>
      <c r="I69" s="12">
        <v>0</v>
      </c>
    </row>
    <row r="70" spans="2:9" ht="15" customHeight="1" x14ac:dyDescent="0.15">
      <c r="B70" t="s">
        <v>141</v>
      </c>
      <c r="C70" s="12">
        <v>40</v>
      </c>
      <c r="D70" s="8">
        <v>1.46</v>
      </c>
      <c r="E70" s="12">
        <v>5</v>
      </c>
      <c r="F70" s="8">
        <v>0.36</v>
      </c>
      <c r="G70" s="12">
        <v>35</v>
      </c>
      <c r="H70" s="8">
        <v>2.59</v>
      </c>
      <c r="I70" s="12">
        <v>0</v>
      </c>
    </row>
    <row r="71" spans="2:9" ht="15" customHeight="1" x14ac:dyDescent="0.15">
      <c r="B71" t="s">
        <v>166</v>
      </c>
      <c r="C71" s="12">
        <v>39</v>
      </c>
      <c r="D71" s="8">
        <v>1.42</v>
      </c>
      <c r="E71" s="12">
        <v>29</v>
      </c>
      <c r="F71" s="8">
        <v>2.08</v>
      </c>
      <c r="G71" s="12">
        <v>10</v>
      </c>
      <c r="H71" s="8">
        <v>0.74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370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15">
      <c r="B6" t="s">
        <v>63</v>
      </c>
      <c r="C6" s="12">
        <v>811</v>
      </c>
      <c r="D6" s="8">
        <v>15.73</v>
      </c>
      <c r="E6" s="12">
        <v>177</v>
      </c>
      <c r="F6" s="8">
        <v>7.97</v>
      </c>
      <c r="G6" s="12">
        <v>634</v>
      </c>
      <c r="H6" s="8">
        <v>21.68</v>
      </c>
      <c r="I6" s="12">
        <v>0</v>
      </c>
    </row>
    <row r="7" spans="2:9" ht="15" customHeight="1" x14ac:dyDescent="0.15">
      <c r="B7" t="s">
        <v>64</v>
      </c>
      <c r="C7" s="12">
        <v>416</v>
      </c>
      <c r="D7" s="8">
        <v>8.07</v>
      </c>
      <c r="E7" s="12">
        <v>72</v>
      </c>
      <c r="F7" s="8">
        <v>3.24</v>
      </c>
      <c r="G7" s="12">
        <v>344</v>
      </c>
      <c r="H7" s="8">
        <v>11.76</v>
      </c>
      <c r="I7" s="12">
        <v>0</v>
      </c>
    </row>
    <row r="8" spans="2:9" ht="15" customHeight="1" x14ac:dyDescent="0.15">
      <c r="B8" t="s">
        <v>65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15">
      <c r="B9" t="s">
        <v>66</v>
      </c>
      <c r="C9" s="12">
        <v>51</v>
      </c>
      <c r="D9" s="8">
        <v>0.99</v>
      </c>
      <c r="E9" s="12">
        <v>1</v>
      </c>
      <c r="F9" s="8">
        <v>0.05</v>
      </c>
      <c r="G9" s="12">
        <v>50</v>
      </c>
      <c r="H9" s="8">
        <v>1.71</v>
      </c>
      <c r="I9" s="12">
        <v>0</v>
      </c>
    </row>
    <row r="10" spans="2:9" ht="15" customHeight="1" x14ac:dyDescent="0.15">
      <c r="B10" t="s">
        <v>67</v>
      </c>
      <c r="C10" s="12">
        <v>89</v>
      </c>
      <c r="D10" s="8">
        <v>1.73</v>
      </c>
      <c r="E10" s="12">
        <v>11</v>
      </c>
      <c r="F10" s="8">
        <v>0.5</v>
      </c>
      <c r="G10" s="12">
        <v>78</v>
      </c>
      <c r="H10" s="8">
        <v>2.67</v>
      </c>
      <c r="I10" s="12">
        <v>0</v>
      </c>
    </row>
    <row r="11" spans="2:9" ht="15" customHeight="1" x14ac:dyDescent="0.15">
      <c r="B11" t="s">
        <v>68</v>
      </c>
      <c r="C11" s="12">
        <v>979</v>
      </c>
      <c r="D11" s="8">
        <v>18.989999999999998</v>
      </c>
      <c r="E11" s="12">
        <v>287</v>
      </c>
      <c r="F11" s="8">
        <v>12.92</v>
      </c>
      <c r="G11" s="12">
        <v>687</v>
      </c>
      <c r="H11" s="8">
        <v>23.5</v>
      </c>
      <c r="I11" s="12">
        <v>5</v>
      </c>
    </row>
    <row r="12" spans="2:9" ht="15" customHeight="1" x14ac:dyDescent="0.15">
      <c r="B12" t="s">
        <v>69</v>
      </c>
      <c r="C12" s="12">
        <v>25</v>
      </c>
      <c r="D12" s="8">
        <v>0.48</v>
      </c>
      <c r="E12" s="12">
        <v>2</v>
      </c>
      <c r="F12" s="8">
        <v>0.09</v>
      </c>
      <c r="G12" s="12">
        <v>23</v>
      </c>
      <c r="H12" s="8">
        <v>0.79</v>
      </c>
      <c r="I12" s="12">
        <v>0</v>
      </c>
    </row>
    <row r="13" spans="2:9" ht="15" customHeight="1" x14ac:dyDescent="0.15">
      <c r="B13" t="s">
        <v>70</v>
      </c>
      <c r="C13" s="12">
        <v>1047</v>
      </c>
      <c r="D13" s="8">
        <v>20.309999999999999</v>
      </c>
      <c r="E13" s="12">
        <v>581</v>
      </c>
      <c r="F13" s="8">
        <v>26.16</v>
      </c>
      <c r="G13" s="12">
        <v>464</v>
      </c>
      <c r="H13" s="8">
        <v>15.87</v>
      </c>
      <c r="I13" s="12">
        <v>2</v>
      </c>
    </row>
    <row r="14" spans="2:9" ht="15" customHeight="1" x14ac:dyDescent="0.15">
      <c r="B14" t="s">
        <v>71</v>
      </c>
      <c r="C14" s="12">
        <v>241</v>
      </c>
      <c r="D14" s="8">
        <v>4.68</v>
      </c>
      <c r="E14" s="12">
        <v>112</v>
      </c>
      <c r="F14" s="8">
        <v>5.04</v>
      </c>
      <c r="G14" s="12">
        <v>129</v>
      </c>
      <c r="H14" s="8">
        <v>4.41</v>
      </c>
      <c r="I14" s="12">
        <v>0</v>
      </c>
    </row>
    <row r="15" spans="2:9" ht="15" customHeight="1" x14ac:dyDescent="0.15">
      <c r="B15" t="s">
        <v>72</v>
      </c>
      <c r="C15" s="12">
        <v>479</v>
      </c>
      <c r="D15" s="8">
        <v>9.2899999999999991</v>
      </c>
      <c r="E15" s="12">
        <v>363</v>
      </c>
      <c r="F15" s="8">
        <v>16.34</v>
      </c>
      <c r="G15" s="12">
        <v>115</v>
      </c>
      <c r="H15" s="8">
        <v>3.93</v>
      </c>
      <c r="I15" s="12">
        <v>1</v>
      </c>
    </row>
    <row r="16" spans="2:9" ht="15" customHeight="1" x14ac:dyDescent="0.15">
      <c r="B16" t="s">
        <v>73</v>
      </c>
      <c r="C16" s="12">
        <v>468</v>
      </c>
      <c r="D16" s="8">
        <v>9.08</v>
      </c>
      <c r="E16" s="12">
        <v>329</v>
      </c>
      <c r="F16" s="8">
        <v>14.81</v>
      </c>
      <c r="G16" s="12">
        <v>139</v>
      </c>
      <c r="H16" s="8">
        <v>4.75</v>
      </c>
      <c r="I16" s="12">
        <v>0</v>
      </c>
    </row>
    <row r="17" spans="2:9" ht="15" customHeight="1" x14ac:dyDescent="0.15">
      <c r="B17" t="s">
        <v>74</v>
      </c>
      <c r="C17" s="12">
        <v>159</v>
      </c>
      <c r="D17" s="8">
        <v>3.08</v>
      </c>
      <c r="E17" s="12">
        <v>93</v>
      </c>
      <c r="F17" s="8">
        <v>4.1900000000000004</v>
      </c>
      <c r="G17" s="12">
        <v>66</v>
      </c>
      <c r="H17" s="8">
        <v>2.2599999999999998</v>
      </c>
      <c r="I17" s="12">
        <v>0</v>
      </c>
    </row>
    <row r="18" spans="2:9" ht="15" customHeight="1" x14ac:dyDescent="0.15">
      <c r="B18" t="s">
        <v>75</v>
      </c>
      <c r="C18" s="12">
        <v>198</v>
      </c>
      <c r="D18" s="8">
        <v>3.84</v>
      </c>
      <c r="E18" s="12">
        <v>140</v>
      </c>
      <c r="F18" s="8">
        <v>6.3</v>
      </c>
      <c r="G18" s="12">
        <v>57</v>
      </c>
      <c r="H18" s="8">
        <v>1.95</v>
      </c>
      <c r="I18" s="12">
        <v>1</v>
      </c>
    </row>
    <row r="19" spans="2:9" ht="15" customHeight="1" x14ac:dyDescent="0.15">
      <c r="B19" t="s">
        <v>76</v>
      </c>
      <c r="C19" s="12">
        <v>188</v>
      </c>
      <c r="D19" s="8">
        <v>3.65</v>
      </c>
      <c r="E19" s="12">
        <v>53</v>
      </c>
      <c r="F19" s="8">
        <v>2.39</v>
      </c>
      <c r="G19" s="12">
        <v>134</v>
      </c>
      <c r="H19" s="8">
        <v>4.58</v>
      </c>
      <c r="I19" s="12">
        <v>1</v>
      </c>
    </row>
    <row r="20" spans="2:9" ht="15" customHeight="1" x14ac:dyDescent="0.15">
      <c r="B20" s="9" t="s">
        <v>216</v>
      </c>
      <c r="C20" s="12">
        <f>SUM(LTBL_14212[総数／事業所数])</f>
        <v>5155</v>
      </c>
      <c r="E20" s="12">
        <f>SUBTOTAL(109,LTBL_14212[個人／事業所数])</f>
        <v>2221</v>
      </c>
      <c r="G20" s="12">
        <f>SUBTOTAL(109,LTBL_14212[法人／事業所数])</f>
        <v>2924</v>
      </c>
      <c r="I20" s="12">
        <f>SUBTOTAL(109,LTBL_14212[法人以外の団体／事業所数])</f>
        <v>10</v>
      </c>
    </row>
    <row r="21" spans="2:9" ht="15" customHeight="1" x14ac:dyDescent="0.15">
      <c r="E21" s="11">
        <f>LTBL_14212[[#Totals],[個人／事業所数]]/LTBL_14212[[#Totals],[総数／事業所数]]</f>
        <v>0.43084384093113481</v>
      </c>
      <c r="G21" s="11">
        <f>LTBL_14212[[#Totals],[法人／事業所数]]/LTBL_14212[[#Totals],[総数／事業所数]]</f>
        <v>0.56721629485935987</v>
      </c>
      <c r="I21" s="11">
        <f>LTBL_14212[[#Totals],[法人以外の団体／事業所数]]/LTBL_14212[[#Totals],[総数／事業所数]]</f>
        <v>1.9398642095053346E-3</v>
      </c>
    </row>
    <row r="23" spans="2:9" ht="33" customHeight="1" x14ac:dyDescent="0.15">
      <c r="B23" t="s">
        <v>215</v>
      </c>
      <c r="C23" s="10" t="s">
        <v>78</v>
      </c>
      <c r="D23" s="10" t="s">
        <v>371</v>
      </c>
      <c r="E23" s="10" t="s">
        <v>80</v>
      </c>
      <c r="F23" s="10" t="s">
        <v>372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12</v>
      </c>
      <c r="D24" t="s">
        <v>217</v>
      </c>
      <c r="E24">
        <v>0</v>
      </c>
      <c r="F24" t="s">
        <v>219</v>
      </c>
      <c r="G24">
        <v>12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1</v>
      </c>
      <c r="D25" t="s">
        <v>217</v>
      </c>
      <c r="E25">
        <v>0</v>
      </c>
      <c r="F25" t="s">
        <v>219</v>
      </c>
      <c r="G25">
        <v>1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917</v>
      </c>
      <c r="D29" s="8">
        <v>17.79</v>
      </c>
      <c r="E29" s="12">
        <v>575</v>
      </c>
      <c r="F29" s="8">
        <v>25.89</v>
      </c>
      <c r="G29" s="12">
        <v>340</v>
      </c>
      <c r="H29" s="8">
        <v>11.63</v>
      </c>
      <c r="I29" s="12">
        <v>2</v>
      </c>
    </row>
    <row r="30" spans="2:9" ht="15" customHeight="1" x14ac:dyDescent="0.15">
      <c r="B30" t="s">
        <v>99</v>
      </c>
      <c r="C30" s="12">
        <v>444</v>
      </c>
      <c r="D30" s="8">
        <v>8.61</v>
      </c>
      <c r="E30" s="12">
        <v>359</v>
      </c>
      <c r="F30" s="8">
        <v>16.16</v>
      </c>
      <c r="G30" s="12">
        <v>84</v>
      </c>
      <c r="H30" s="8">
        <v>2.87</v>
      </c>
      <c r="I30" s="12">
        <v>1</v>
      </c>
    </row>
    <row r="31" spans="2:9" ht="15" customHeight="1" x14ac:dyDescent="0.15">
      <c r="B31" t="s">
        <v>100</v>
      </c>
      <c r="C31" s="12">
        <v>391</v>
      </c>
      <c r="D31" s="8">
        <v>7.58</v>
      </c>
      <c r="E31" s="12">
        <v>294</v>
      </c>
      <c r="F31" s="8">
        <v>13.24</v>
      </c>
      <c r="G31" s="12">
        <v>97</v>
      </c>
      <c r="H31" s="8">
        <v>3.32</v>
      </c>
      <c r="I31" s="12">
        <v>0</v>
      </c>
    </row>
    <row r="32" spans="2:9" ht="15" customHeight="1" x14ac:dyDescent="0.15">
      <c r="B32" t="s">
        <v>85</v>
      </c>
      <c r="C32" s="12">
        <v>333</v>
      </c>
      <c r="D32" s="8">
        <v>6.46</v>
      </c>
      <c r="E32" s="12">
        <v>60</v>
      </c>
      <c r="F32" s="8">
        <v>2.7</v>
      </c>
      <c r="G32" s="12">
        <v>273</v>
      </c>
      <c r="H32" s="8">
        <v>9.34</v>
      </c>
      <c r="I32" s="12">
        <v>0</v>
      </c>
    </row>
    <row r="33" spans="2:9" ht="15" customHeight="1" x14ac:dyDescent="0.15">
      <c r="B33" t="s">
        <v>94</v>
      </c>
      <c r="C33" s="12">
        <v>271</v>
      </c>
      <c r="D33" s="8">
        <v>5.26</v>
      </c>
      <c r="E33" s="12">
        <v>99</v>
      </c>
      <c r="F33" s="8">
        <v>4.46</v>
      </c>
      <c r="G33" s="12">
        <v>171</v>
      </c>
      <c r="H33" s="8">
        <v>5.85</v>
      </c>
      <c r="I33" s="12">
        <v>1</v>
      </c>
    </row>
    <row r="34" spans="2:9" ht="15" customHeight="1" x14ac:dyDescent="0.15">
      <c r="B34" t="s">
        <v>86</v>
      </c>
      <c r="C34" s="12">
        <v>270</v>
      </c>
      <c r="D34" s="8">
        <v>5.24</v>
      </c>
      <c r="E34" s="12">
        <v>89</v>
      </c>
      <c r="F34" s="8">
        <v>4.01</v>
      </c>
      <c r="G34" s="12">
        <v>181</v>
      </c>
      <c r="H34" s="8">
        <v>6.19</v>
      </c>
      <c r="I34" s="12">
        <v>0</v>
      </c>
    </row>
    <row r="35" spans="2:9" ht="15" customHeight="1" x14ac:dyDescent="0.15">
      <c r="B35" t="s">
        <v>87</v>
      </c>
      <c r="C35" s="12">
        <v>208</v>
      </c>
      <c r="D35" s="8">
        <v>4.03</v>
      </c>
      <c r="E35" s="12">
        <v>28</v>
      </c>
      <c r="F35" s="8">
        <v>1.26</v>
      </c>
      <c r="G35" s="12">
        <v>180</v>
      </c>
      <c r="H35" s="8">
        <v>6.16</v>
      </c>
      <c r="I35" s="12">
        <v>0</v>
      </c>
    </row>
    <row r="36" spans="2:9" ht="15" customHeight="1" x14ac:dyDescent="0.15">
      <c r="B36" t="s">
        <v>103</v>
      </c>
      <c r="C36" s="12">
        <v>166</v>
      </c>
      <c r="D36" s="8">
        <v>3.22</v>
      </c>
      <c r="E36" s="12">
        <v>138</v>
      </c>
      <c r="F36" s="8">
        <v>6.21</v>
      </c>
      <c r="G36" s="12">
        <v>28</v>
      </c>
      <c r="H36" s="8">
        <v>0.96</v>
      </c>
      <c r="I36" s="12">
        <v>0</v>
      </c>
    </row>
    <row r="37" spans="2:9" ht="15" customHeight="1" x14ac:dyDescent="0.15">
      <c r="B37" t="s">
        <v>102</v>
      </c>
      <c r="C37" s="12">
        <v>159</v>
      </c>
      <c r="D37" s="8">
        <v>3.08</v>
      </c>
      <c r="E37" s="12">
        <v>93</v>
      </c>
      <c r="F37" s="8">
        <v>4.1900000000000004</v>
      </c>
      <c r="G37" s="12">
        <v>66</v>
      </c>
      <c r="H37" s="8">
        <v>2.2599999999999998</v>
      </c>
      <c r="I37" s="12">
        <v>0</v>
      </c>
    </row>
    <row r="38" spans="2:9" ht="15" customHeight="1" x14ac:dyDescent="0.15">
      <c r="B38" t="s">
        <v>93</v>
      </c>
      <c r="C38" s="12">
        <v>155</v>
      </c>
      <c r="D38" s="8">
        <v>3.01</v>
      </c>
      <c r="E38" s="12">
        <v>57</v>
      </c>
      <c r="F38" s="8">
        <v>2.57</v>
      </c>
      <c r="G38" s="12">
        <v>98</v>
      </c>
      <c r="H38" s="8">
        <v>3.35</v>
      </c>
      <c r="I38" s="12">
        <v>0</v>
      </c>
    </row>
    <row r="39" spans="2:9" ht="15" customHeight="1" x14ac:dyDescent="0.15">
      <c r="B39" t="s">
        <v>92</v>
      </c>
      <c r="C39" s="12">
        <v>142</v>
      </c>
      <c r="D39" s="8">
        <v>2.75</v>
      </c>
      <c r="E39" s="12">
        <v>74</v>
      </c>
      <c r="F39" s="8">
        <v>3.33</v>
      </c>
      <c r="G39" s="12">
        <v>65</v>
      </c>
      <c r="H39" s="8">
        <v>2.2200000000000002</v>
      </c>
      <c r="I39" s="12">
        <v>3</v>
      </c>
    </row>
    <row r="40" spans="2:9" ht="15" customHeight="1" x14ac:dyDescent="0.15">
      <c r="B40" t="s">
        <v>90</v>
      </c>
      <c r="C40" s="12">
        <v>123</v>
      </c>
      <c r="D40" s="8">
        <v>2.39</v>
      </c>
      <c r="E40" s="12">
        <v>2</v>
      </c>
      <c r="F40" s="8">
        <v>0.09</v>
      </c>
      <c r="G40" s="12">
        <v>120</v>
      </c>
      <c r="H40" s="8">
        <v>4.0999999999999996</v>
      </c>
      <c r="I40" s="12">
        <v>1</v>
      </c>
    </row>
    <row r="41" spans="2:9" ht="15" customHeight="1" x14ac:dyDescent="0.15">
      <c r="B41" t="s">
        <v>98</v>
      </c>
      <c r="C41" s="12">
        <v>123</v>
      </c>
      <c r="D41" s="8">
        <v>2.39</v>
      </c>
      <c r="E41" s="12">
        <v>34</v>
      </c>
      <c r="F41" s="8">
        <v>1.53</v>
      </c>
      <c r="G41" s="12">
        <v>89</v>
      </c>
      <c r="H41" s="8">
        <v>3.04</v>
      </c>
      <c r="I41" s="12">
        <v>0</v>
      </c>
    </row>
    <row r="42" spans="2:9" ht="15" customHeight="1" x14ac:dyDescent="0.15">
      <c r="B42" t="s">
        <v>97</v>
      </c>
      <c r="C42" s="12">
        <v>113</v>
      </c>
      <c r="D42" s="8">
        <v>2.19</v>
      </c>
      <c r="E42" s="12">
        <v>78</v>
      </c>
      <c r="F42" s="8">
        <v>3.51</v>
      </c>
      <c r="G42" s="12">
        <v>35</v>
      </c>
      <c r="H42" s="8">
        <v>1.2</v>
      </c>
      <c r="I42" s="12">
        <v>0</v>
      </c>
    </row>
    <row r="43" spans="2:9" ht="15" customHeight="1" x14ac:dyDescent="0.15">
      <c r="B43" t="s">
        <v>95</v>
      </c>
      <c r="C43" s="12">
        <v>107</v>
      </c>
      <c r="D43" s="8">
        <v>2.08</v>
      </c>
      <c r="E43" s="12">
        <v>4</v>
      </c>
      <c r="F43" s="8">
        <v>0.18</v>
      </c>
      <c r="G43" s="12">
        <v>103</v>
      </c>
      <c r="H43" s="8">
        <v>3.52</v>
      </c>
      <c r="I43" s="12">
        <v>0</v>
      </c>
    </row>
    <row r="44" spans="2:9" ht="15" customHeight="1" x14ac:dyDescent="0.15">
      <c r="B44" t="s">
        <v>91</v>
      </c>
      <c r="C44" s="12">
        <v>90</v>
      </c>
      <c r="D44" s="8">
        <v>1.75</v>
      </c>
      <c r="E44" s="12">
        <v>27</v>
      </c>
      <c r="F44" s="8">
        <v>1.22</v>
      </c>
      <c r="G44" s="12">
        <v>63</v>
      </c>
      <c r="H44" s="8">
        <v>2.15</v>
      </c>
      <c r="I44" s="12">
        <v>0</v>
      </c>
    </row>
    <row r="45" spans="2:9" ht="15" customHeight="1" x14ac:dyDescent="0.15">
      <c r="B45" t="s">
        <v>89</v>
      </c>
      <c r="C45" s="12">
        <v>71</v>
      </c>
      <c r="D45" s="8">
        <v>1.38</v>
      </c>
      <c r="E45" s="12">
        <v>10</v>
      </c>
      <c r="F45" s="8">
        <v>0.45</v>
      </c>
      <c r="G45" s="12">
        <v>61</v>
      </c>
      <c r="H45" s="8">
        <v>2.09</v>
      </c>
      <c r="I45" s="12">
        <v>0</v>
      </c>
    </row>
    <row r="46" spans="2:9" ht="15" customHeight="1" x14ac:dyDescent="0.15">
      <c r="B46" t="s">
        <v>117</v>
      </c>
      <c r="C46" s="12">
        <v>70</v>
      </c>
      <c r="D46" s="8">
        <v>1.36</v>
      </c>
      <c r="E46" s="12">
        <v>36</v>
      </c>
      <c r="F46" s="8">
        <v>1.62</v>
      </c>
      <c r="G46" s="12">
        <v>34</v>
      </c>
      <c r="H46" s="8">
        <v>1.1599999999999999</v>
      </c>
      <c r="I46" s="12">
        <v>0</v>
      </c>
    </row>
    <row r="47" spans="2:9" ht="15" customHeight="1" x14ac:dyDescent="0.15">
      <c r="B47" t="s">
        <v>104</v>
      </c>
      <c r="C47" s="12">
        <v>66</v>
      </c>
      <c r="D47" s="8">
        <v>1.28</v>
      </c>
      <c r="E47" s="12">
        <v>7</v>
      </c>
      <c r="F47" s="8">
        <v>0.32</v>
      </c>
      <c r="G47" s="12">
        <v>58</v>
      </c>
      <c r="H47" s="8">
        <v>1.98</v>
      </c>
      <c r="I47" s="12">
        <v>1</v>
      </c>
    </row>
    <row r="48" spans="2:9" ht="15" customHeight="1" x14ac:dyDescent="0.15">
      <c r="B48" t="s">
        <v>106</v>
      </c>
      <c r="C48" s="12">
        <v>63</v>
      </c>
      <c r="D48" s="8">
        <v>1.22</v>
      </c>
      <c r="E48" s="12">
        <v>5</v>
      </c>
      <c r="F48" s="8">
        <v>0.23</v>
      </c>
      <c r="G48" s="12">
        <v>58</v>
      </c>
      <c r="H48" s="8">
        <v>1.98</v>
      </c>
      <c r="I48" s="12">
        <v>0</v>
      </c>
    </row>
    <row r="51" spans="2:9" ht="33" customHeight="1" x14ac:dyDescent="0.15">
      <c r="B51" t="s">
        <v>373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499</v>
      </c>
      <c r="D52" s="8">
        <v>9.68</v>
      </c>
      <c r="E52" s="12">
        <v>394</v>
      </c>
      <c r="F52" s="8">
        <v>17.739999999999998</v>
      </c>
      <c r="G52" s="12">
        <v>104</v>
      </c>
      <c r="H52" s="8">
        <v>3.56</v>
      </c>
      <c r="I52" s="12">
        <v>1</v>
      </c>
    </row>
    <row r="53" spans="2:9" ht="15" customHeight="1" x14ac:dyDescent="0.15">
      <c r="B53" t="s">
        <v>147</v>
      </c>
      <c r="C53" s="12">
        <v>218</v>
      </c>
      <c r="D53" s="8">
        <v>4.2300000000000004</v>
      </c>
      <c r="E53" s="12">
        <v>113</v>
      </c>
      <c r="F53" s="8">
        <v>5.09</v>
      </c>
      <c r="G53" s="12">
        <v>105</v>
      </c>
      <c r="H53" s="8">
        <v>3.59</v>
      </c>
      <c r="I53" s="12">
        <v>0</v>
      </c>
    </row>
    <row r="54" spans="2:9" ht="15" customHeight="1" x14ac:dyDescent="0.15">
      <c r="B54" t="s">
        <v>155</v>
      </c>
      <c r="C54" s="12">
        <v>186</v>
      </c>
      <c r="D54" s="8">
        <v>3.61</v>
      </c>
      <c r="E54" s="12">
        <v>136</v>
      </c>
      <c r="F54" s="8">
        <v>6.12</v>
      </c>
      <c r="G54" s="12">
        <v>50</v>
      </c>
      <c r="H54" s="8">
        <v>1.71</v>
      </c>
      <c r="I54" s="12">
        <v>0</v>
      </c>
    </row>
    <row r="55" spans="2:9" ht="15" customHeight="1" x14ac:dyDescent="0.15">
      <c r="B55" t="s">
        <v>149</v>
      </c>
      <c r="C55" s="12">
        <v>136</v>
      </c>
      <c r="D55" s="8">
        <v>2.64</v>
      </c>
      <c r="E55" s="12">
        <v>19</v>
      </c>
      <c r="F55" s="8">
        <v>0.86</v>
      </c>
      <c r="G55" s="12">
        <v>116</v>
      </c>
      <c r="H55" s="8">
        <v>3.97</v>
      </c>
      <c r="I55" s="12">
        <v>1</v>
      </c>
    </row>
    <row r="56" spans="2:9" ht="15" customHeight="1" x14ac:dyDescent="0.15">
      <c r="B56" t="s">
        <v>151</v>
      </c>
      <c r="C56" s="12">
        <v>120</v>
      </c>
      <c r="D56" s="8">
        <v>2.33</v>
      </c>
      <c r="E56" s="12">
        <v>111</v>
      </c>
      <c r="F56" s="8">
        <v>5</v>
      </c>
      <c r="G56" s="12">
        <v>9</v>
      </c>
      <c r="H56" s="8">
        <v>0.31</v>
      </c>
      <c r="I56" s="12">
        <v>0</v>
      </c>
    </row>
    <row r="57" spans="2:9" ht="15" customHeight="1" x14ac:dyDescent="0.15">
      <c r="B57" t="s">
        <v>154</v>
      </c>
      <c r="C57" s="12">
        <v>117</v>
      </c>
      <c r="D57" s="8">
        <v>2.27</v>
      </c>
      <c r="E57" s="12">
        <v>111</v>
      </c>
      <c r="F57" s="8">
        <v>5</v>
      </c>
      <c r="G57" s="12">
        <v>6</v>
      </c>
      <c r="H57" s="8">
        <v>0.21</v>
      </c>
      <c r="I57" s="12">
        <v>0</v>
      </c>
    </row>
    <row r="58" spans="2:9" ht="15" customHeight="1" x14ac:dyDescent="0.15">
      <c r="B58" t="s">
        <v>145</v>
      </c>
      <c r="C58" s="12">
        <v>109</v>
      </c>
      <c r="D58" s="8">
        <v>2.11</v>
      </c>
      <c r="E58" s="12">
        <v>56</v>
      </c>
      <c r="F58" s="8">
        <v>2.52</v>
      </c>
      <c r="G58" s="12">
        <v>53</v>
      </c>
      <c r="H58" s="8">
        <v>1.81</v>
      </c>
      <c r="I58" s="12">
        <v>0</v>
      </c>
    </row>
    <row r="59" spans="2:9" ht="15" customHeight="1" x14ac:dyDescent="0.15">
      <c r="B59" t="s">
        <v>144</v>
      </c>
      <c r="C59" s="12">
        <v>107</v>
      </c>
      <c r="D59" s="8">
        <v>2.08</v>
      </c>
      <c r="E59" s="12">
        <v>37</v>
      </c>
      <c r="F59" s="8">
        <v>1.67</v>
      </c>
      <c r="G59" s="12">
        <v>70</v>
      </c>
      <c r="H59" s="8">
        <v>2.39</v>
      </c>
      <c r="I59" s="12">
        <v>0</v>
      </c>
    </row>
    <row r="60" spans="2:9" ht="15" customHeight="1" x14ac:dyDescent="0.15">
      <c r="B60" t="s">
        <v>157</v>
      </c>
      <c r="C60" s="12">
        <v>107</v>
      </c>
      <c r="D60" s="8">
        <v>2.08</v>
      </c>
      <c r="E60" s="12">
        <v>88</v>
      </c>
      <c r="F60" s="8">
        <v>3.96</v>
      </c>
      <c r="G60" s="12">
        <v>19</v>
      </c>
      <c r="H60" s="8">
        <v>0.65</v>
      </c>
      <c r="I60" s="12">
        <v>0</v>
      </c>
    </row>
    <row r="61" spans="2:9" ht="15" customHeight="1" x14ac:dyDescent="0.15">
      <c r="B61" t="s">
        <v>152</v>
      </c>
      <c r="C61" s="12">
        <v>106</v>
      </c>
      <c r="D61" s="8">
        <v>2.06</v>
      </c>
      <c r="E61" s="12">
        <v>97</v>
      </c>
      <c r="F61" s="8">
        <v>4.37</v>
      </c>
      <c r="G61" s="12">
        <v>9</v>
      </c>
      <c r="H61" s="8">
        <v>0.31</v>
      </c>
      <c r="I61" s="12">
        <v>0</v>
      </c>
    </row>
    <row r="62" spans="2:9" ht="15" customHeight="1" x14ac:dyDescent="0.15">
      <c r="B62" t="s">
        <v>156</v>
      </c>
      <c r="C62" s="12">
        <v>106</v>
      </c>
      <c r="D62" s="8">
        <v>2.06</v>
      </c>
      <c r="E62" s="12">
        <v>72</v>
      </c>
      <c r="F62" s="8">
        <v>3.24</v>
      </c>
      <c r="G62" s="12">
        <v>34</v>
      </c>
      <c r="H62" s="8">
        <v>1.1599999999999999</v>
      </c>
      <c r="I62" s="12">
        <v>0</v>
      </c>
    </row>
    <row r="63" spans="2:9" ht="15" customHeight="1" x14ac:dyDescent="0.15">
      <c r="B63" t="s">
        <v>150</v>
      </c>
      <c r="C63" s="12">
        <v>105</v>
      </c>
      <c r="D63" s="8">
        <v>2.04</v>
      </c>
      <c r="E63" s="12">
        <v>76</v>
      </c>
      <c r="F63" s="8">
        <v>3.42</v>
      </c>
      <c r="G63" s="12">
        <v>29</v>
      </c>
      <c r="H63" s="8">
        <v>0.99</v>
      </c>
      <c r="I63" s="12">
        <v>0</v>
      </c>
    </row>
    <row r="64" spans="2:9" ht="15" customHeight="1" x14ac:dyDescent="0.15">
      <c r="B64" t="s">
        <v>138</v>
      </c>
      <c r="C64" s="12">
        <v>90</v>
      </c>
      <c r="D64" s="8">
        <v>1.75</v>
      </c>
      <c r="E64" s="12">
        <v>9</v>
      </c>
      <c r="F64" s="8">
        <v>0.41</v>
      </c>
      <c r="G64" s="12">
        <v>81</v>
      </c>
      <c r="H64" s="8">
        <v>2.77</v>
      </c>
      <c r="I64" s="12">
        <v>0</v>
      </c>
    </row>
    <row r="65" spans="2:9" ht="15" customHeight="1" x14ac:dyDescent="0.15">
      <c r="B65" t="s">
        <v>140</v>
      </c>
      <c r="C65" s="12">
        <v>87</v>
      </c>
      <c r="D65" s="8">
        <v>1.69</v>
      </c>
      <c r="E65" s="12">
        <v>17</v>
      </c>
      <c r="F65" s="8">
        <v>0.77</v>
      </c>
      <c r="G65" s="12">
        <v>70</v>
      </c>
      <c r="H65" s="8">
        <v>2.39</v>
      </c>
      <c r="I65" s="12">
        <v>0</v>
      </c>
    </row>
    <row r="66" spans="2:9" ht="15" customHeight="1" x14ac:dyDescent="0.15">
      <c r="B66" t="s">
        <v>141</v>
      </c>
      <c r="C66" s="12">
        <v>85</v>
      </c>
      <c r="D66" s="8">
        <v>1.65</v>
      </c>
      <c r="E66" s="12">
        <v>8</v>
      </c>
      <c r="F66" s="8">
        <v>0.36</v>
      </c>
      <c r="G66" s="12">
        <v>77</v>
      </c>
      <c r="H66" s="8">
        <v>2.63</v>
      </c>
      <c r="I66" s="12">
        <v>0</v>
      </c>
    </row>
    <row r="67" spans="2:9" ht="15" customHeight="1" x14ac:dyDescent="0.15">
      <c r="B67" t="s">
        <v>139</v>
      </c>
      <c r="C67" s="12">
        <v>78</v>
      </c>
      <c r="D67" s="8">
        <v>1.51</v>
      </c>
      <c r="E67" s="12">
        <v>12</v>
      </c>
      <c r="F67" s="8">
        <v>0.54</v>
      </c>
      <c r="G67" s="12">
        <v>66</v>
      </c>
      <c r="H67" s="8">
        <v>2.2599999999999998</v>
      </c>
      <c r="I67" s="12">
        <v>0</v>
      </c>
    </row>
    <row r="68" spans="2:9" ht="15" customHeight="1" x14ac:dyDescent="0.15">
      <c r="B68" t="s">
        <v>174</v>
      </c>
      <c r="C68" s="12">
        <v>75</v>
      </c>
      <c r="D68" s="8">
        <v>1.45</v>
      </c>
      <c r="E68" s="12">
        <v>28</v>
      </c>
      <c r="F68" s="8">
        <v>1.26</v>
      </c>
      <c r="G68" s="12">
        <v>47</v>
      </c>
      <c r="H68" s="8">
        <v>1.61</v>
      </c>
      <c r="I68" s="12">
        <v>0</v>
      </c>
    </row>
    <row r="69" spans="2:9" ht="15" customHeight="1" x14ac:dyDescent="0.15">
      <c r="B69" t="s">
        <v>146</v>
      </c>
      <c r="C69" s="12">
        <v>75</v>
      </c>
      <c r="D69" s="8">
        <v>1.45</v>
      </c>
      <c r="E69" s="12">
        <v>4</v>
      </c>
      <c r="F69" s="8">
        <v>0.18</v>
      </c>
      <c r="G69" s="12">
        <v>71</v>
      </c>
      <c r="H69" s="8">
        <v>2.4300000000000002</v>
      </c>
      <c r="I69" s="12">
        <v>0</v>
      </c>
    </row>
    <row r="70" spans="2:9" ht="15" customHeight="1" x14ac:dyDescent="0.15">
      <c r="B70" t="s">
        <v>181</v>
      </c>
      <c r="C70" s="12">
        <v>70</v>
      </c>
      <c r="D70" s="8">
        <v>1.36</v>
      </c>
      <c r="E70" s="12">
        <v>36</v>
      </c>
      <c r="F70" s="8">
        <v>1.62</v>
      </c>
      <c r="G70" s="12">
        <v>34</v>
      </c>
      <c r="H70" s="8">
        <v>1.1599999999999999</v>
      </c>
      <c r="I70" s="12">
        <v>0</v>
      </c>
    </row>
    <row r="71" spans="2:9" ht="15" customHeight="1" x14ac:dyDescent="0.15">
      <c r="B71" t="s">
        <v>158</v>
      </c>
      <c r="C71" s="12">
        <v>69</v>
      </c>
      <c r="D71" s="8">
        <v>1.34</v>
      </c>
      <c r="E71" s="12">
        <v>11</v>
      </c>
      <c r="F71" s="8">
        <v>0.5</v>
      </c>
      <c r="G71" s="12">
        <v>58</v>
      </c>
      <c r="H71" s="8">
        <v>1.98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374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588</v>
      </c>
      <c r="D6" s="8">
        <v>13.63</v>
      </c>
      <c r="E6" s="12">
        <v>81</v>
      </c>
      <c r="F6" s="8">
        <v>3.96</v>
      </c>
      <c r="G6" s="12">
        <v>507</v>
      </c>
      <c r="H6" s="8">
        <v>22.45</v>
      </c>
      <c r="I6" s="12">
        <v>0</v>
      </c>
    </row>
    <row r="7" spans="2:9" ht="15" customHeight="1" x14ac:dyDescent="0.15">
      <c r="B7" t="s">
        <v>64</v>
      </c>
      <c r="C7" s="12">
        <v>282</v>
      </c>
      <c r="D7" s="8">
        <v>6.54</v>
      </c>
      <c r="E7" s="12">
        <v>38</v>
      </c>
      <c r="F7" s="8">
        <v>1.86</v>
      </c>
      <c r="G7" s="12">
        <v>244</v>
      </c>
      <c r="H7" s="8">
        <v>10.81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41</v>
      </c>
      <c r="D9" s="8">
        <v>0.95</v>
      </c>
      <c r="E9" s="12">
        <v>1</v>
      </c>
      <c r="F9" s="8">
        <v>0.05</v>
      </c>
      <c r="G9" s="12">
        <v>39</v>
      </c>
      <c r="H9" s="8">
        <v>1.73</v>
      </c>
      <c r="I9" s="12">
        <v>1</v>
      </c>
    </row>
    <row r="10" spans="2:9" ht="15" customHeight="1" x14ac:dyDescent="0.15">
      <c r="B10" t="s">
        <v>67</v>
      </c>
      <c r="C10" s="12">
        <v>26</v>
      </c>
      <c r="D10" s="8">
        <v>0.6</v>
      </c>
      <c r="E10" s="12">
        <v>6</v>
      </c>
      <c r="F10" s="8">
        <v>0.28999999999999998</v>
      </c>
      <c r="G10" s="12">
        <v>20</v>
      </c>
      <c r="H10" s="8">
        <v>0.89</v>
      </c>
      <c r="I10" s="12">
        <v>0</v>
      </c>
    </row>
    <row r="11" spans="2:9" ht="15" customHeight="1" x14ac:dyDescent="0.15">
      <c r="B11" t="s">
        <v>68</v>
      </c>
      <c r="C11" s="12">
        <v>838</v>
      </c>
      <c r="D11" s="8">
        <v>19.43</v>
      </c>
      <c r="E11" s="12">
        <v>312</v>
      </c>
      <c r="F11" s="8">
        <v>15.27</v>
      </c>
      <c r="G11" s="12">
        <v>525</v>
      </c>
      <c r="H11" s="8">
        <v>23.25</v>
      </c>
      <c r="I11" s="12">
        <v>1</v>
      </c>
    </row>
    <row r="12" spans="2:9" ht="15" customHeight="1" x14ac:dyDescent="0.15">
      <c r="B12" t="s">
        <v>69</v>
      </c>
      <c r="C12" s="12">
        <v>24</v>
      </c>
      <c r="D12" s="8">
        <v>0.56000000000000005</v>
      </c>
      <c r="E12" s="12">
        <v>2</v>
      </c>
      <c r="F12" s="8">
        <v>0.1</v>
      </c>
      <c r="G12" s="12">
        <v>22</v>
      </c>
      <c r="H12" s="8">
        <v>0.97</v>
      </c>
      <c r="I12" s="12">
        <v>0</v>
      </c>
    </row>
    <row r="13" spans="2:9" ht="15" customHeight="1" x14ac:dyDescent="0.15">
      <c r="B13" t="s">
        <v>70</v>
      </c>
      <c r="C13" s="12">
        <v>723</v>
      </c>
      <c r="D13" s="8">
        <v>16.760000000000002</v>
      </c>
      <c r="E13" s="12">
        <v>372</v>
      </c>
      <c r="F13" s="8">
        <v>18.21</v>
      </c>
      <c r="G13" s="12">
        <v>351</v>
      </c>
      <c r="H13" s="8">
        <v>15.54</v>
      </c>
      <c r="I13" s="12">
        <v>0</v>
      </c>
    </row>
    <row r="14" spans="2:9" ht="15" customHeight="1" x14ac:dyDescent="0.15">
      <c r="B14" t="s">
        <v>71</v>
      </c>
      <c r="C14" s="12">
        <v>193</v>
      </c>
      <c r="D14" s="8">
        <v>4.47</v>
      </c>
      <c r="E14" s="12">
        <v>89</v>
      </c>
      <c r="F14" s="8">
        <v>4.3600000000000003</v>
      </c>
      <c r="G14" s="12">
        <v>104</v>
      </c>
      <c r="H14" s="8">
        <v>4.6100000000000003</v>
      </c>
      <c r="I14" s="12">
        <v>0</v>
      </c>
    </row>
    <row r="15" spans="2:9" ht="15" customHeight="1" x14ac:dyDescent="0.15">
      <c r="B15" t="s">
        <v>72</v>
      </c>
      <c r="C15" s="12">
        <v>595</v>
      </c>
      <c r="D15" s="8">
        <v>13.8</v>
      </c>
      <c r="E15" s="12">
        <v>486</v>
      </c>
      <c r="F15" s="8">
        <v>23.79</v>
      </c>
      <c r="G15" s="12">
        <v>109</v>
      </c>
      <c r="H15" s="8">
        <v>4.83</v>
      </c>
      <c r="I15" s="12">
        <v>0</v>
      </c>
    </row>
    <row r="16" spans="2:9" ht="15" customHeight="1" x14ac:dyDescent="0.15">
      <c r="B16" t="s">
        <v>73</v>
      </c>
      <c r="C16" s="12">
        <v>508</v>
      </c>
      <c r="D16" s="8">
        <v>11.78</v>
      </c>
      <c r="E16" s="12">
        <v>354</v>
      </c>
      <c r="F16" s="8">
        <v>17.329999999999998</v>
      </c>
      <c r="G16" s="12">
        <v>154</v>
      </c>
      <c r="H16" s="8">
        <v>6.82</v>
      </c>
      <c r="I16" s="12">
        <v>0</v>
      </c>
    </row>
    <row r="17" spans="2:9" ht="15" customHeight="1" x14ac:dyDescent="0.15">
      <c r="B17" t="s">
        <v>74</v>
      </c>
      <c r="C17" s="12">
        <v>169</v>
      </c>
      <c r="D17" s="8">
        <v>3.92</v>
      </c>
      <c r="E17" s="12">
        <v>117</v>
      </c>
      <c r="F17" s="8">
        <v>5.73</v>
      </c>
      <c r="G17" s="12">
        <v>52</v>
      </c>
      <c r="H17" s="8">
        <v>2.2999999999999998</v>
      </c>
      <c r="I17" s="12">
        <v>0</v>
      </c>
    </row>
    <row r="18" spans="2:9" ht="15" customHeight="1" x14ac:dyDescent="0.15">
      <c r="B18" t="s">
        <v>75</v>
      </c>
      <c r="C18" s="12">
        <v>201</v>
      </c>
      <c r="D18" s="8">
        <v>4.66</v>
      </c>
      <c r="E18" s="12">
        <v>149</v>
      </c>
      <c r="F18" s="8">
        <v>7.29</v>
      </c>
      <c r="G18" s="12">
        <v>51</v>
      </c>
      <c r="H18" s="8">
        <v>2.2599999999999998</v>
      </c>
      <c r="I18" s="12">
        <v>1</v>
      </c>
    </row>
    <row r="19" spans="2:9" ht="15" customHeight="1" x14ac:dyDescent="0.15">
      <c r="B19" t="s">
        <v>76</v>
      </c>
      <c r="C19" s="12">
        <v>125</v>
      </c>
      <c r="D19" s="8">
        <v>2.9</v>
      </c>
      <c r="E19" s="12">
        <v>36</v>
      </c>
      <c r="F19" s="8">
        <v>1.76</v>
      </c>
      <c r="G19" s="12">
        <v>80</v>
      </c>
      <c r="H19" s="8">
        <v>3.54</v>
      </c>
      <c r="I19" s="12">
        <v>9</v>
      </c>
    </row>
    <row r="20" spans="2:9" ht="15" customHeight="1" x14ac:dyDescent="0.15">
      <c r="B20" s="9" t="s">
        <v>216</v>
      </c>
      <c r="C20" s="12">
        <f>SUM(LTBL_14213[総数／事業所数])</f>
        <v>4313</v>
      </c>
      <c r="E20" s="12">
        <f>SUBTOTAL(109,LTBL_14213[個人／事業所数])</f>
        <v>2043</v>
      </c>
      <c r="G20" s="12">
        <f>SUBTOTAL(109,LTBL_14213[法人／事業所数])</f>
        <v>2258</v>
      </c>
      <c r="I20" s="12">
        <f>SUBTOTAL(109,LTBL_14213[法人以外の団体／事業所数])</f>
        <v>12</v>
      </c>
    </row>
    <row r="21" spans="2:9" ht="15" customHeight="1" x14ac:dyDescent="0.15">
      <c r="E21" s="11">
        <f>LTBL_14213[[#Totals],[個人／事業所数]]/LTBL_14213[[#Totals],[総数／事業所数]]</f>
        <v>0.47368421052631576</v>
      </c>
      <c r="G21" s="11">
        <f>LTBL_14213[[#Totals],[法人／事業所数]]/LTBL_14213[[#Totals],[総数／事業所数]]</f>
        <v>0.52353350336192905</v>
      </c>
      <c r="I21" s="11">
        <f>LTBL_14213[[#Totals],[法人以外の団体／事業所数]]/LTBL_14213[[#Totals],[総数／事業所数]]</f>
        <v>2.7822861117551586E-3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375</v>
      </c>
      <c r="I23" s="10" t="s">
        <v>84</v>
      </c>
    </row>
    <row r="24" spans="2:9" ht="15" customHeight="1" x14ac:dyDescent="0.15">
      <c r="B24" t="s">
        <v>218</v>
      </c>
      <c r="C24">
        <v>6</v>
      </c>
      <c r="D24" t="s">
        <v>217</v>
      </c>
      <c r="E24">
        <v>0</v>
      </c>
      <c r="F24" t="s">
        <v>219</v>
      </c>
      <c r="G24">
        <v>6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376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606</v>
      </c>
      <c r="D29" s="8">
        <v>14.05</v>
      </c>
      <c r="E29" s="12">
        <v>364</v>
      </c>
      <c r="F29" s="8">
        <v>17.82</v>
      </c>
      <c r="G29" s="12">
        <v>242</v>
      </c>
      <c r="H29" s="8">
        <v>10.72</v>
      </c>
      <c r="I29" s="12">
        <v>0</v>
      </c>
    </row>
    <row r="30" spans="2:9" ht="15" customHeight="1" x14ac:dyDescent="0.15">
      <c r="B30" t="s">
        <v>99</v>
      </c>
      <c r="C30" s="12">
        <v>551</v>
      </c>
      <c r="D30" s="8">
        <v>12.78</v>
      </c>
      <c r="E30" s="12">
        <v>475</v>
      </c>
      <c r="F30" s="8">
        <v>23.25</v>
      </c>
      <c r="G30" s="12">
        <v>76</v>
      </c>
      <c r="H30" s="8">
        <v>3.37</v>
      </c>
      <c r="I30" s="12">
        <v>0</v>
      </c>
    </row>
    <row r="31" spans="2:9" ht="15" customHeight="1" x14ac:dyDescent="0.15">
      <c r="B31" t="s">
        <v>100</v>
      </c>
      <c r="C31" s="12">
        <v>408</v>
      </c>
      <c r="D31" s="8">
        <v>9.4600000000000009</v>
      </c>
      <c r="E31" s="12">
        <v>303</v>
      </c>
      <c r="F31" s="8">
        <v>14.83</v>
      </c>
      <c r="G31" s="12">
        <v>105</v>
      </c>
      <c r="H31" s="8">
        <v>4.6500000000000004</v>
      </c>
      <c r="I31" s="12">
        <v>0</v>
      </c>
    </row>
    <row r="32" spans="2:9" ht="15" customHeight="1" x14ac:dyDescent="0.15">
      <c r="B32" t="s">
        <v>94</v>
      </c>
      <c r="C32" s="12">
        <v>249</v>
      </c>
      <c r="D32" s="8">
        <v>5.77</v>
      </c>
      <c r="E32" s="12">
        <v>100</v>
      </c>
      <c r="F32" s="8">
        <v>4.8899999999999997</v>
      </c>
      <c r="G32" s="12">
        <v>149</v>
      </c>
      <c r="H32" s="8">
        <v>6.6</v>
      </c>
      <c r="I32" s="12">
        <v>0</v>
      </c>
    </row>
    <row r="33" spans="2:9" ht="15" customHeight="1" x14ac:dyDescent="0.15">
      <c r="B33" t="s">
        <v>86</v>
      </c>
      <c r="C33" s="12">
        <v>220</v>
      </c>
      <c r="D33" s="8">
        <v>5.0999999999999996</v>
      </c>
      <c r="E33" s="12">
        <v>44</v>
      </c>
      <c r="F33" s="8">
        <v>2.15</v>
      </c>
      <c r="G33" s="12">
        <v>176</v>
      </c>
      <c r="H33" s="8">
        <v>7.79</v>
      </c>
      <c r="I33" s="12">
        <v>0</v>
      </c>
    </row>
    <row r="34" spans="2:9" ht="15" customHeight="1" x14ac:dyDescent="0.15">
      <c r="B34" t="s">
        <v>85</v>
      </c>
      <c r="C34" s="12">
        <v>212</v>
      </c>
      <c r="D34" s="8">
        <v>4.92</v>
      </c>
      <c r="E34" s="12">
        <v>26</v>
      </c>
      <c r="F34" s="8">
        <v>1.27</v>
      </c>
      <c r="G34" s="12">
        <v>186</v>
      </c>
      <c r="H34" s="8">
        <v>8.24</v>
      </c>
      <c r="I34" s="12">
        <v>0</v>
      </c>
    </row>
    <row r="35" spans="2:9" ht="15" customHeight="1" x14ac:dyDescent="0.15">
      <c r="B35" t="s">
        <v>103</v>
      </c>
      <c r="C35" s="12">
        <v>170</v>
      </c>
      <c r="D35" s="8">
        <v>3.94</v>
      </c>
      <c r="E35" s="12">
        <v>145</v>
      </c>
      <c r="F35" s="8">
        <v>7.1</v>
      </c>
      <c r="G35" s="12">
        <v>25</v>
      </c>
      <c r="H35" s="8">
        <v>1.1100000000000001</v>
      </c>
      <c r="I35" s="12">
        <v>0</v>
      </c>
    </row>
    <row r="36" spans="2:9" ht="15" customHeight="1" x14ac:dyDescent="0.15">
      <c r="B36" t="s">
        <v>102</v>
      </c>
      <c r="C36" s="12">
        <v>169</v>
      </c>
      <c r="D36" s="8">
        <v>3.92</v>
      </c>
      <c r="E36" s="12">
        <v>117</v>
      </c>
      <c r="F36" s="8">
        <v>5.73</v>
      </c>
      <c r="G36" s="12">
        <v>52</v>
      </c>
      <c r="H36" s="8">
        <v>2.2999999999999998</v>
      </c>
      <c r="I36" s="12">
        <v>0</v>
      </c>
    </row>
    <row r="37" spans="2:9" ht="15" customHeight="1" x14ac:dyDescent="0.15">
      <c r="B37" t="s">
        <v>92</v>
      </c>
      <c r="C37" s="12">
        <v>161</v>
      </c>
      <c r="D37" s="8">
        <v>3.73</v>
      </c>
      <c r="E37" s="12">
        <v>105</v>
      </c>
      <c r="F37" s="8">
        <v>5.14</v>
      </c>
      <c r="G37" s="12">
        <v>55</v>
      </c>
      <c r="H37" s="8">
        <v>2.44</v>
      </c>
      <c r="I37" s="12">
        <v>1</v>
      </c>
    </row>
    <row r="38" spans="2:9" ht="15" customHeight="1" x14ac:dyDescent="0.15">
      <c r="B38" t="s">
        <v>87</v>
      </c>
      <c r="C38" s="12">
        <v>156</v>
      </c>
      <c r="D38" s="8">
        <v>3.62</v>
      </c>
      <c r="E38" s="12">
        <v>11</v>
      </c>
      <c r="F38" s="8">
        <v>0.54</v>
      </c>
      <c r="G38" s="12">
        <v>145</v>
      </c>
      <c r="H38" s="8">
        <v>6.42</v>
      </c>
      <c r="I38" s="12">
        <v>0</v>
      </c>
    </row>
    <row r="39" spans="2:9" ht="15" customHeight="1" x14ac:dyDescent="0.15">
      <c r="B39" t="s">
        <v>93</v>
      </c>
      <c r="C39" s="12">
        <v>117</v>
      </c>
      <c r="D39" s="8">
        <v>2.71</v>
      </c>
      <c r="E39" s="12">
        <v>42</v>
      </c>
      <c r="F39" s="8">
        <v>2.06</v>
      </c>
      <c r="G39" s="12">
        <v>75</v>
      </c>
      <c r="H39" s="8">
        <v>3.32</v>
      </c>
      <c r="I39" s="12">
        <v>0</v>
      </c>
    </row>
    <row r="40" spans="2:9" ht="15" customHeight="1" x14ac:dyDescent="0.15">
      <c r="B40" t="s">
        <v>95</v>
      </c>
      <c r="C40" s="12">
        <v>104</v>
      </c>
      <c r="D40" s="8">
        <v>2.41</v>
      </c>
      <c r="E40" s="12">
        <v>7</v>
      </c>
      <c r="F40" s="8">
        <v>0.34</v>
      </c>
      <c r="G40" s="12">
        <v>97</v>
      </c>
      <c r="H40" s="8">
        <v>4.3</v>
      </c>
      <c r="I40" s="12">
        <v>0</v>
      </c>
    </row>
    <row r="41" spans="2:9" ht="15" customHeight="1" x14ac:dyDescent="0.15">
      <c r="B41" t="s">
        <v>97</v>
      </c>
      <c r="C41" s="12">
        <v>94</v>
      </c>
      <c r="D41" s="8">
        <v>2.1800000000000002</v>
      </c>
      <c r="E41" s="12">
        <v>63</v>
      </c>
      <c r="F41" s="8">
        <v>3.08</v>
      </c>
      <c r="G41" s="12">
        <v>31</v>
      </c>
      <c r="H41" s="8">
        <v>1.37</v>
      </c>
      <c r="I41" s="12">
        <v>0</v>
      </c>
    </row>
    <row r="42" spans="2:9" ht="15" customHeight="1" x14ac:dyDescent="0.15">
      <c r="B42" t="s">
        <v>91</v>
      </c>
      <c r="C42" s="12">
        <v>92</v>
      </c>
      <c r="D42" s="8">
        <v>2.13</v>
      </c>
      <c r="E42" s="12">
        <v>39</v>
      </c>
      <c r="F42" s="8">
        <v>1.91</v>
      </c>
      <c r="G42" s="12">
        <v>53</v>
      </c>
      <c r="H42" s="8">
        <v>2.35</v>
      </c>
      <c r="I42" s="12">
        <v>0</v>
      </c>
    </row>
    <row r="43" spans="2:9" ht="15" customHeight="1" x14ac:dyDescent="0.15">
      <c r="B43" t="s">
        <v>98</v>
      </c>
      <c r="C43" s="12">
        <v>88</v>
      </c>
      <c r="D43" s="8">
        <v>2.04</v>
      </c>
      <c r="E43" s="12">
        <v>25</v>
      </c>
      <c r="F43" s="8">
        <v>1.22</v>
      </c>
      <c r="G43" s="12">
        <v>63</v>
      </c>
      <c r="H43" s="8">
        <v>2.79</v>
      </c>
      <c r="I43" s="12">
        <v>0</v>
      </c>
    </row>
    <row r="44" spans="2:9" ht="15" customHeight="1" x14ac:dyDescent="0.15">
      <c r="B44" t="s">
        <v>90</v>
      </c>
      <c r="C44" s="12">
        <v>62</v>
      </c>
      <c r="D44" s="8">
        <v>1.44</v>
      </c>
      <c r="E44" s="12">
        <v>8</v>
      </c>
      <c r="F44" s="8">
        <v>0.39</v>
      </c>
      <c r="G44" s="12">
        <v>54</v>
      </c>
      <c r="H44" s="8">
        <v>2.39</v>
      </c>
      <c r="I44" s="12">
        <v>0</v>
      </c>
    </row>
    <row r="45" spans="2:9" ht="15" customHeight="1" x14ac:dyDescent="0.15">
      <c r="B45" t="s">
        <v>101</v>
      </c>
      <c r="C45" s="12">
        <v>61</v>
      </c>
      <c r="D45" s="8">
        <v>1.41</v>
      </c>
      <c r="E45" s="12">
        <v>25</v>
      </c>
      <c r="F45" s="8">
        <v>1.22</v>
      </c>
      <c r="G45" s="12">
        <v>36</v>
      </c>
      <c r="H45" s="8">
        <v>1.59</v>
      </c>
      <c r="I45" s="12">
        <v>0</v>
      </c>
    </row>
    <row r="46" spans="2:9" ht="15" customHeight="1" x14ac:dyDescent="0.15">
      <c r="B46" t="s">
        <v>89</v>
      </c>
      <c r="C46" s="12">
        <v>51</v>
      </c>
      <c r="D46" s="8">
        <v>1.18</v>
      </c>
      <c r="E46" s="12">
        <v>5</v>
      </c>
      <c r="F46" s="8">
        <v>0.24</v>
      </c>
      <c r="G46" s="12">
        <v>46</v>
      </c>
      <c r="H46" s="8">
        <v>2.04</v>
      </c>
      <c r="I46" s="12">
        <v>0</v>
      </c>
    </row>
    <row r="47" spans="2:9" ht="15" customHeight="1" x14ac:dyDescent="0.15">
      <c r="B47" t="s">
        <v>117</v>
      </c>
      <c r="C47" s="12">
        <v>49</v>
      </c>
      <c r="D47" s="8">
        <v>1.1399999999999999</v>
      </c>
      <c r="E47" s="12">
        <v>24</v>
      </c>
      <c r="F47" s="8">
        <v>1.17</v>
      </c>
      <c r="G47" s="12">
        <v>25</v>
      </c>
      <c r="H47" s="8">
        <v>1.1100000000000001</v>
      </c>
      <c r="I47" s="12">
        <v>0</v>
      </c>
    </row>
    <row r="48" spans="2:9" ht="15" customHeight="1" x14ac:dyDescent="0.15">
      <c r="B48" t="s">
        <v>105</v>
      </c>
      <c r="C48" s="12">
        <v>48</v>
      </c>
      <c r="D48" s="8">
        <v>1.1100000000000001</v>
      </c>
      <c r="E48" s="12">
        <v>6</v>
      </c>
      <c r="F48" s="8">
        <v>0.28999999999999998</v>
      </c>
      <c r="G48" s="12">
        <v>42</v>
      </c>
      <c r="H48" s="8">
        <v>1.86</v>
      </c>
      <c r="I48" s="12">
        <v>0</v>
      </c>
    </row>
    <row r="51" spans="2:9" ht="33" customHeight="1" x14ac:dyDescent="0.15">
      <c r="B51" t="s">
        <v>255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387</v>
      </c>
      <c r="D52" s="8">
        <v>8.9700000000000006</v>
      </c>
      <c r="E52" s="12">
        <v>317</v>
      </c>
      <c r="F52" s="8">
        <v>15.52</v>
      </c>
      <c r="G52" s="12">
        <v>70</v>
      </c>
      <c r="H52" s="8">
        <v>3.1</v>
      </c>
      <c r="I52" s="12">
        <v>0</v>
      </c>
    </row>
    <row r="53" spans="2:9" ht="15" customHeight="1" x14ac:dyDescent="0.15">
      <c r="B53" t="s">
        <v>155</v>
      </c>
      <c r="C53" s="12">
        <v>201</v>
      </c>
      <c r="D53" s="8">
        <v>4.66</v>
      </c>
      <c r="E53" s="12">
        <v>159</v>
      </c>
      <c r="F53" s="8">
        <v>7.78</v>
      </c>
      <c r="G53" s="12">
        <v>42</v>
      </c>
      <c r="H53" s="8">
        <v>1.86</v>
      </c>
      <c r="I53" s="12">
        <v>0</v>
      </c>
    </row>
    <row r="54" spans="2:9" ht="15" customHeight="1" x14ac:dyDescent="0.15">
      <c r="B54" t="s">
        <v>151</v>
      </c>
      <c r="C54" s="12">
        <v>182</v>
      </c>
      <c r="D54" s="8">
        <v>4.22</v>
      </c>
      <c r="E54" s="12">
        <v>168</v>
      </c>
      <c r="F54" s="8">
        <v>8.2200000000000006</v>
      </c>
      <c r="G54" s="12">
        <v>14</v>
      </c>
      <c r="H54" s="8">
        <v>0.62</v>
      </c>
      <c r="I54" s="12">
        <v>0</v>
      </c>
    </row>
    <row r="55" spans="2:9" ht="15" customHeight="1" x14ac:dyDescent="0.15">
      <c r="B55" t="s">
        <v>152</v>
      </c>
      <c r="C55" s="12">
        <v>135</v>
      </c>
      <c r="D55" s="8">
        <v>3.13</v>
      </c>
      <c r="E55" s="12">
        <v>127</v>
      </c>
      <c r="F55" s="8">
        <v>6.22</v>
      </c>
      <c r="G55" s="12">
        <v>8</v>
      </c>
      <c r="H55" s="8">
        <v>0.35</v>
      </c>
      <c r="I55" s="12">
        <v>0</v>
      </c>
    </row>
    <row r="56" spans="2:9" ht="15" customHeight="1" x14ac:dyDescent="0.15">
      <c r="B56" t="s">
        <v>150</v>
      </c>
      <c r="C56" s="12">
        <v>130</v>
      </c>
      <c r="D56" s="8">
        <v>3.01</v>
      </c>
      <c r="E56" s="12">
        <v>101</v>
      </c>
      <c r="F56" s="8">
        <v>4.9400000000000004</v>
      </c>
      <c r="G56" s="12">
        <v>29</v>
      </c>
      <c r="H56" s="8">
        <v>1.28</v>
      </c>
      <c r="I56" s="12">
        <v>0</v>
      </c>
    </row>
    <row r="57" spans="2:9" ht="15" customHeight="1" x14ac:dyDescent="0.15">
      <c r="B57" t="s">
        <v>157</v>
      </c>
      <c r="C57" s="12">
        <v>118</v>
      </c>
      <c r="D57" s="8">
        <v>2.74</v>
      </c>
      <c r="E57" s="12">
        <v>102</v>
      </c>
      <c r="F57" s="8">
        <v>4.99</v>
      </c>
      <c r="G57" s="12">
        <v>16</v>
      </c>
      <c r="H57" s="8">
        <v>0.71</v>
      </c>
      <c r="I57" s="12">
        <v>0</v>
      </c>
    </row>
    <row r="58" spans="2:9" ht="15" customHeight="1" x14ac:dyDescent="0.15">
      <c r="B58" t="s">
        <v>154</v>
      </c>
      <c r="C58" s="12">
        <v>113</v>
      </c>
      <c r="D58" s="8">
        <v>2.62</v>
      </c>
      <c r="E58" s="12">
        <v>97</v>
      </c>
      <c r="F58" s="8">
        <v>4.75</v>
      </c>
      <c r="G58" s="12">
        <v>16</v>
      </c>
      <c r="H58" s="8">
        <v>0.71</v>
      </c>
      <c r="I58" s="12">
        <v>0</v>
      </c>
    </row>
    <row r="59" spans="2:9" ht="15" customHeight="1" x14ac:dyDescent="0.15">
      <c r="B59" t="s">
        <v>156</v>
      </c>
      <c r="C59" s="12">
        <v>112</v>
      </c>
      <c r="D59" s="8">
        <v>2.6</v>
      </c>
      <c r="E59" s="12">
        <v>84</v>
      </c>
      <c r="F59" s="8">
        <v>4.1100000000000003</v>
      </c>
      <c r="G59" s="12">
        <v>28</v>
      </c>
      <c r="H59" s="8">
        <v>1.24</v>
      </c>
      <c r="I59" s="12">
        <v>0</v>
      </c>
    </row>
    <row r="60" spans="2:9" ht="15" customHeight="1" x14ac:dyDescent="0.15">
      <c r="B60" t="s">
        <v>149</v>
      </c>
      <c r="C60" s="12">
        <v>102</v>
      </c>
      <c r="D60" s="8">
        <v>2.36</v>
      </c>
      <c r="E60" s="12">
        <v>6</v>
      </c>
      <c r="F60" s="8">
        <v>0.28999999999999998</v>
      </c>
      <c r="G60" s="12">
        <v>96</v>
      </c>
      <c r="H60" s="8">
        <v>4.25</v>
      </c>
      <c r="I60" s="12">
        <v>0</v>
      </c>
    </row>
    <row r="61" spans="2:9" ht="15" customHeight="1" x14ac:dyDescent="0.15">
      <c r="B61" t="s">
        <v>145</v>
      </c>
      <c r="C61" s="12">
        <v>94</v>
      </c>
      <c r="D61" s="8">
        <v>2.1800000000000002</v>
      </c>
      <c r="E61" s="12">
        <v>47</v>
      </c>
      <c r="F61" s="8">
        <v>2.2999999999999998</v>
      </c>
      <c r="G61" s="12">
        <v>47</v>
      </c>
      <c r="H61" s="8">
        <v>2.08</v>
      </c>
      <c r="I61" s="12">
        <v>0</v>
      </c>
    </row>
    <row r="62" spans="2:9" ht="15" customHeight="1" x14ac:dyDescent="0.15">
      <c r="B62" t="s">
        <v>147</v>
      </c>
      <c r="C62" s="12">
        <v>92</v>
      </c>
      <c r="D62" s="8">
        <v>2.13</v>
      </c>
      <c r="E62" s="12">
        <v>27</v>
      </c>
      <c r="F62" s="8">
        <v>1.32</v>
      </c>
      <c r="G62" s="12">
        <v>65</v>
      </c>
      <c r="H62" s="8">
        <v>2.88</v>
      </c>
      <c r="I62" s="12">
        <v>0</v>
      </c>
    </row>
    <row r="63" spans="2:9" ht="15" customHeight="1" x14ac:dyDescent="0.15">
      <c r="B63" t="s">
        <v>146</v>
      </c>
      <c r="C63" s="12">
        <v>73</v>
      </c>
      <c r="D63" s="8">
        <v>1.69</v>
      </c>
      <c r="E63" s="12">
        <v>6</v>
      </c>
      <c r="F63" s="8">
        <v>0.28999999999999998</v>
      </c>
      <c r="G63" s="12">
        <v>67</v>
      </c>
      <c r="H63" s="8">
        <v>2.97</v>
      </c>
      <c r="I63" s="12">
        <v>0</v>
      </c>
    </row>
    <row r="64" spans="2:9" ht="15" customHeight="1" x14ac:dyDescent="0.15">
      <c r="B64" t="s">
        <v>141</v>
      </c>
      <c r="C64" s="12">
        <v>67</v>
      </c>
      <c r="D64" s="8">
        <v>1.55</v>
      </c>
      <c r="E64" s="12">
        <v>5</v>
      </c>
      <c r="F64" s="8">
        <v>0.24</v>
      </c>
      <c r="G64" s="12">
        <v>62</v>
      </c>
      <c r="H64" s="8">
        <v>2.75</v>
      </c>
      <c r="I64" s="12">
        <v>0</v>
      </c>
    </row>
    <row r="65" spans="2:9" ht="15" customHeight="1" x14ac:dyDescent="0.15">
      <c r="B65" t="s">
        <v>144</v>
      </c>
      <c r="C65" s="12">
        <v>66</v>
      </c>
      <c r="D65" s="8">
        <v>1.53</v>
      </c>
      <c r="E65" s="12">
        <v>22</v>
      </c>
      <c r="F65" s="8">
        <v>1.08</v>
      </c>
      <c r="G65" s="12">
        <v>44</v>
      </c>
      <c r="H65" s="8">
        <v>1.95</v>
      </c>
      <c r="I65" s="12">
        <v>0</v>
      </c>
    </row>
    <row r="66" spans="2:9" ht="15" customHeight="1" x14ac:dyDescent="0.15">
      <c r="B66" t="s">
        <v>143</v>
      </c>
      <c r="C66" s="12">
        <v>60</v>
      </c>
      <c r="D66" s="8">
        <v>1.39</v>
      </c>
      <c r="E66" s="12">
        <v>30</v>
      </c>
      <c r="F66" s="8">
        <v>1.47</v>
      </c>
      <c r="G66" s="12">
        <v>30</v>
      </c>
      <c r="H66" s="8">
        <v>1.33</v>
      </c>
      <c r="I66" s="12">
        <v>0</v>
      </c>
    </row>
    <row r="67" spans="2:9" ht="15" customHeight="1" x14ac:dyDescent="0.15">
      <c r="B67" t="s">
        <v>139</v>
      </c>
      <c r="C67" s="12">
        <v>59</v>
      </c>
      <c r="D67" s="8">
        <v>1.37</v>
      </c>
      <c r="E67" s="12">
        <v>8</v>
      </c>
      <c r="F67" s="8">
        <v>0.39</v>
      </c>
      <c r="G67" s="12">
        <v>51</v>
      </c>
      <c r="H67" s="8">
        <v>2.2599999999999998</v>
      </c>
      <c r="I67" s="12">
        <v>0</v>
      </c>
    </row>
    <row r="68" spans="2:9" ht="15" customHeight="1" x14ac:dyDescent="0.15">
      <c r="B68" t="s">
        <v>158</v>
      </c>
      <c r="C68" s="12">
        <v>59</v>
      </c>
      <c r="D68" s="8">
        <v>1.37</v>
      </c>
      <c r="E68" s="12">
        <v>9</v>
      </c>
      <c r="F68" s="8">
        <v>0.44</v>
      </c>
      <c r="G68" s="12">
        <v>50</v>
      </c>
      <c r="H68" s="8">
        <v>2.21</v>
      </c>
      <c r="I68" s="12">
        <v>0</v>
      </c>
    </row>
    <row r="69" spans="2:9" ht="15" customHeight="1" x14ac:dyDescent="0.15">
      <c r="B69" t="s">
        <v>161</v>
      </c>
      <c r="C69" s="12">
        <v>59</v>
      </c>
      <c r="D69" s="8">
        <v>1.37</v>
      </c>
      <c r="E69" s="12">
        <v>14</v>
      </c>
      <c r="F69" s="8">
        <v>0.69</v>
      </c>
      <c r="G69" s="12">
        <v>45</v>
      </c>
      <c r="H69" s="8">
        <v>1.99</v>
      </c>
      <c r="I69" s="12">
        <v>0</v>
      </c>
    </row>
    <row r="70" spans="2:9" ht="15" customHeight="1" x14ac:dyDescent="0.15">
      <c r="B70" t="s">
        <v>153</v>
      </c>
      <c r="C70" s="12">
        <v>56</v>
      </c>
      <c r="D70" s="8">
        <v>1.3</v>
      </c>
      <c r="E70" s="12">
        <v>25</v>
      </c>
      <c r="F70" s="8">
        <v>1.22</v>
      </c>
      <c r="G70" s="12">
        <v>31</v>
      </c>
      <c r="H70" s="8">
        <v>1.37</v>
      </c>
      <c r="I70" s="12">
        <v>0</v>
      </c>
    </row>
    <row r="71" spans="2:9" ht="15" customHeight="1" x14ac:dyDescent="0.15">
      <c r="B71" t="s">
        <v>175</v>
      </c>
      <c r="C71" s="12">
        <v>52</v>
      </c>
      <c r="D71" s="8">
        <v>1.21</v>
      </c>
      <c r="E71" s="12">
        <v>33</v>
      </c>
      <c r="F71" s="8">
        <v>1.62</v>
      </c>
      <c r="G71" s="12">
        <v>19</v>
      </c>
      <c r="H71" s="8">
        <v>0.84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377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269</v>
      </c>
      <c r="D6" s="8">
        <v>12.77</v>
      </c>
      <c r="E6" s="12">
        <v>62</v>
      </c>
      <c r="F6" s="8">
        <v>5.2</v>
      </c>
      <c r="G6" s="12">
        <v>207</v>
      </c>
      <c r="H6" s="8">
        <v>22.72</v>
      </c>
      <c r="I6" s="12">
        <v>0</v>
      </c>
    </row>
    <row r="7" spans="2:9" ht="15" customHeight="1" x14ac:dyDescent="0.15">
      <c r="B7" t="s">
        <v>64</v>
      </c>
      <c r="C7" s="12">
        <v>148</v>
      </c>
      <c r="D7" s="8">
        <v>7.03</v>
      </c>
      <c r="E7" s="12">
        <v>34</v>
      </c>
      <c r="F7" s="8">
        <v>2.85</v>
      </c>
      <c r="G7" s="12">
        <v>114</v>
      </c>
      <c r="H7" s="8">
        <v>12.51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16</v>
      </c>
      <c r="D9" s="8">
        <v>0.76</v>
      </c>
      <c r="E9" s="12">
        <v>1</v>
      </c>
      <c r="F9" s="8">
        <v>0.08</v>
      </c>
      <c r="G9" s="12">
        <v>14</v>
      </c>
      <c r="H9" s="8">
        <v>1.54</v>
      </c>
      <c r="I9" s="12">
        <v>1</v>
      </c>
    </row>
    <row r="10" spans="2:9" ht="15" customHeight="1" x14ac:dyDescent="0.15">
      <c r="B10" t="s">
        <v>67</v>
      </c>
      <c r="C10" s="12">
        <v>12</v>
      </c>
      <c r="D10" s="8">
        <v>0.56999999999999995</v>
      </c>
      <c r="E10" s="12">
        <v>1</v>
      </c>
      <c r="F10" s="8">
        <v>0.08</v>
      </c>
      <c r="G10" s="12">
        <v>11</v>
      </c>
      <c r="H10" s="8">
        <v>1.21</v>
      </c>
      <c r="I10" s="12">
        <v>0</v>
      </c>
    </row>
    <row r="11" spans="2:9" ht="15" customHeight="1" x14ac:dyDescent="0.15">
      <c r="B11" t="s">
        <v>68</v>
      </c>
      <c r="C11" s="12">
        <v>386</v>
      </c>
      <c r="D11" s="8">
        <v>18.329999999999998</v>
      </c>
      <c r="E11" s="12">
        <v>160</v>
      </c>
      <c r="F11" s="8">
        <v>13.41</v>
      </c>
      <c r="G11" s="12">
        <v>226</v>
      </c>
      <c r="H11" s="8">
        <v>24.81</v>
      </c>
      <c r="I11" s="12">
        <v>0</v>
      </c>
    </row>
    <row r="12" spans="2:9" ht="15" customHeight="1" x14ac:dyDescent="0.15">
      <c r="B12" t="s">
        <v>69</v>
      </c>
      <c r="C12" s="12">
        <v>11</v>
      </c>
      <c r="D12" s="8">
        <v>0.52</v>
      </c>
      <c r="E12" s="12">
        <v>1</v>
      </c>
      <c r="F12" s="8">
        <v>0.08</v>
      </c>
      <c r="G12" s="12">
        <v>10</v>
      </c>
      <c r="H12" s="8">
        <v>1.1000000000000001</v>
      </c>
      <c r="I12" s="12">
        <v>0</v>
      </c>
    </row>
    <row r="13" spans="2:9" ht="15" customHeight="1" x14ac:dyDescent="0.15">
      <c r="B13" t="s">
        <v>70</v>
      </c>
      <c r="C13" s="12">
        <v>547</v>
      </c>
      <c r="D13" s="8">
        <v>25.97</v>
      </c>
      <c r="E13" s="12">
        <v>430</v>
      </c>
      <c r="F13" s="8">
        <v>36.04</v>
      </c>
      <c r="G13" s="12">
        <v>117</v>
      </c>
      <c r="H13" s="8">
        <v>12.84</v>
      </c>
      <c r="I13" s="12">
        <v>0</v>
      </c>
    </row>
    <row r="14" spans="2:9" ht="15" customHeight="1" x14ac:dyDescent="0.15">
      <c r="B14" t="s">
        <v>71</v>
      </c>
      <c r="C14" s="12">
        <v>78</v>
      </c>
      <c r="D14" s="8">
        <v>3.7</v>
      </c>
      <c r="E14" s="12">
        <v>39</v>
      </c>
      <c r="F14" s="8">
        <v>3.27</v>
      </c>
      <c r="G14" s="12">
        <v>39</v>
      </c>
      <c r="H14" s="8">
        <v>4.28</v>
      </c>
      <c r="I14" s="12">
        <v>0</v>
      </c>
    </row>
    <row r="15" spans="2:9" ht="15" customHeight="1" x14ac:dyDescent="0.15">
      <c r="B15" t="s">
        <v>72</v>
      </c>
      <c r="C15" s="12">
        <v>231</v>
      </c>
      <c r="D15" s="8">
        <v>10.97</v>
      </c>
      <c r="E15" s="12">
        <v>186</v>
      </c>
      <c r="F15" s="8">
        <v>15.59</v>
      </c>
      <c r="G15" s="12">
        <v>45</v>
      </c>
      <c r="H15" s="8">
        <v>4.9400000000000004</v>
      </c>
      <c r="I15" s="12">
        <v>0</v>
      </c>
    </row>
    <row r="16" spans="2:9" ht="15" customHeight="1" x14ac:dyDescent="0.15">
      <c r="B16" t="s">
        <v>73</v>
      </c>
      <c r="C16" s="12">
        <v>197</v>
      </c>
      <c r="D16" s="8">
        <v>9.35</v>
      </c>
      <c r="E16" s="12">
        <v>148</v>
      </c>
      <c r="F16" s="8">
        <v>12.41</v>
      </c>
      <c r="G16" s="12">
        <v>49</v>
      </c>
      <c r="H16" s="8">
        <v>5.38</v>
      </c>
      <c r="I16" s="12">
        <v>0</v>
      </c>
    </row>
    <row r="17" spans="2:9" ht="15" customHeight="1" x14ac:dyDescent="0.15">
      <c r="B17" t="s">
        <v>74</v>
      </c>
      <c r="C17" s="12">
        <v>64</v>
      </c>
      <c r="D17" s="8">
        <v>3.04</v>
      </c>
      <c r="E17" s="12">
        <v>46</v>
      </c>
      <c r="F17" s="8">
        <v>3.86</v>
      </c>
      <c r="G17" s="12">
        <v>17</v>
      </c>
      <c r="H17" s="8">
        <v>1.87</v>
      </c>
      <c r="I17" s="12">
        <v>1</v>
      </c>
    </row>
    <row r="18" spans="2:9" ht="15" customHeight="1" x14ac:dyDescent="0.15">
      <c r="B18" t="s">
        <v>75</v>
      </c>
      <c r="C18" s="12">
        <v>88</v>
      </c>
      <c r="D18" s="8">
        <v>4.18</v>
      </c>
      <c r="E18" s="12">
        <v>65</v>
      </c>
      <c r="F18" s="8">
        <v>5.45</v>
      </c>
      <c r="G18" s="12">
        <v>23</v>
      </c>
      <c r="H18" s="8">
        <v>2.52</v>
      </c>
      <c r="I18" s="12">
        <v>0</v>
      </c>
    </row>
    <row r="19" spans="2:9" ht="15" customHeight="1" x14ac:dyDescent="0.15">
      <c r="B19" t="s">
        <v>76</v>
      </c>
      <c r="C19" s="12">
        <v>59</v>
      </c>
      <c r="D19" s="8">
        <v>2.8</v>
      </c>
      <c r="E19" s="12">
        <v>20</v>
      </c>
      <c r="F19" s="8">
        <v>1.68</v>
      </c>
      <c r="G19" s="12">
        <v>39</v>
      </c>
      <c r="H19" s="8">
        <v>4.28</v>
      </c>
      <c r="I19" s="12">
        <v>0</v>
      </c>
    </row>
    <row r="20" spans="2:9" ht="15" customHeight="1" x14ac:dyDescent="0.15">
      <c r="B20" s="9" t="s">
        <v>216</v>
      </c>
      <c r="C20" s="12">
        <f>SUM(LTBL_14214[総数／事業所数])</f>
        <v>2106</v>
      </c>
      <c r="E20" s="12">
        <f>SUBTOTAL(109,LTBL_14214[個人／事業所数])</f>
        <v>1193</v>
      </c>
      <c r="G20" s="12">
        <f>SUBTOTAL(109,LTBL_14214[法人／事業所数])</f>
        <v>911</v>
      </c>
      <c r="I20" s="12">
        <f>SUBTOTAL(109,LTBL_14214[法人以外の団体／事業所数])</f>
        <v>2</v>
      </c>
    </row>
    <row r="21" spans="2:9" ht="15" customHeight="1" x14ac:dyDescent="0.15">
      <c r="E21" s="11">
        <f>LTBL_14214[[#Totals],[個人／事業所数]]/LTBL_14214[[#Totals],[総数／事業所数]]</f>
        <v>0.56647673314339986</v>
      </c>
      <c r="G21" s="11">
        <f>LTBL_14214[[#Totals],[法人／事業所数]]/LTBL_14214[[#Totals],[総数／事業所数]]</f>
        <v>0.43257359924026589</v>
      </c>
      <c r="I21" s="11">
        <f>LTBL_14214[[#Totals],[法人以外の団体／事業所数]]/LTBL_14214[[#Totals],[総数／事業所数]]</f>
        <v>9.4966761633428305E-4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378</v>
      </c>
      <c r="G23" s="10" t="s">
        <v>82</v>
      </c>
      <c r="H23" s="10" t="s">
        <v>224</v>
      </c>
      <c r="I23" s="10" t="s">
        <v>84</v>
      </c>
    </row>
    <row r="24" spans="2:9" ht="15" customHeight="1" x14ac:dyDescent="0.15">
      <c r="B24" t="s">
        <v>218</v>
      </c>
      <c r="C24">
        <v>33</v>
      </c>
      <c r="D24" t="s">
        <v>217</v>
      </c>
      <c r="E24">
        <v>0</v>
      </c>
      <c r="F24" t="s">
        <v>219</v>
      </c>
      <c r="G24">
        <v>33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336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511</v>
      </c>
      <c r="D29" s="8">
        <v>24.26</v>
      </c>
      <c r="E29" s="12">
        <v>425</v>
      </c>
      <c r="F29" s="8">
        <v>35.619999999999997</v>
      </c>
      <c r="G29" s="12">
        <v>86</v>
      </c>
      <c r="H29" s="8">
        <v>9.44</v>
      </c>
      <c r="I29" s="12">
        <v>0</v>
      </c>
    </row>
    <row r="30" spans="2:9" ht="15" customHeight="1" x14ac:dyDescent="0.15">
      <c r="B30" t="s">
        <v>99</v>
      </c>
      <c r="C30" s="12">
        <v>206</v>
      </c>
      <c r="D30" s="8">
        <v>9.7799999999999994</v>
      </c>
      <c r="E30" s="12">
        <v>171</v>
      </c>
      <c r="F30" s="8">
        <v>14.33</v>
      </c>
      <c r="G30" s="12">
        <v>35</v>
      </c>
      <c r="H30" s="8">
        <v>3.84</v>
      </c>
      <c r="I30" s="12">
        <v>0</v>
      </c>
    </row>
    <row r="31" spans="2:9" ht="15" customHeight="1" x14ac:dyDescent="0.15">
      <c r="B31" t="s">
        <v>100</v>
      </c>
      <c r="C31" s="12">
        <v>168</v>
      </c>
      <c r="D31" s="8">
        <v>7.98</v>
      </c>
      <c r="E31" s="12">
        <v>133</v>
      </c>
      <c r="F31" s="8">
        <v>11.15</v>
      </c>
      <c r="G31" s="12">
        <v>35</v>
      </c>
      <c r="H31" s="8">
        <v>3.84</v>
      </c>
      <c r="I31" s="12">
        <v>0</v>
      </c>
    </row>
    <row r="32" spans="2:9" ht="15" customHeight="1" x14ac:dyDescent="0.15">
      <c r="B32" t="s">
        <v>85</v>
      </c>
      <c r="C32" s="12">
        <v>132</v>
      </c>
      <c r="D32" s="8">
        <v>6.27</v>
      </c>
      <c r="E32" s="12">
        <v>29</v>
      </c>
      <c r="F32" s="8">
        <v>2.4300000000000002</v>
      </c>
      <c r="G32" s="12">
        <v>103</v>
      </c>
      <c r="H32" s="8">
        <v>11.31</v>
      </c>
      <c r="I32" s="12">
        <v>0</v>
      </c>
    </row>
    <row r="33" spans="2:9" ht="15" customHeight="1" x14ac:dyDescent="0.15">
      <c r="B33" t="s">
        <v>94</v>
      </c>
      <c r="C33" s="12">
        <v>108</v>
      </c>
      <c r="D33" s="8">
        <v>5.13</v>
      </c>
      <c r="E33" s="12">
        <v>52</v>
      </c>
      <c r="F33" s="8">
        <v>4.3600000000000003</v>
      </c>
      <c r="G33" s="12">
        <v>56</v>
      </c>
      <c r="H33" s="8">
        <v>6.15</v>
      </c>
      <c r="I33" s="12">
        <v>0</v>
      </c>
    </row>
    <row r="34" spans="2:9" ht="15" customHeight="1" x14ac:dyDescent="0.15">
      <c r="B34" t="s">
        <v>86</v>
      </c>
      <c r="C34" s="12">
        <v>81</v>
      </c>
      <c r="D34" s="8">
        <v>3.85</v>
      </c>
      <c r="E34" s="12">
        <v>23</v>
      </c>
      <c r="F34" s="8">
        <v>1.93</v>
      </c>
      <c r="G34" s="12">
        <v>58</v>
      </c>
      <c r="H34" s="8">
        <v>6.37</v>
      </c>
      <c r="I34" s="12">
        <v>0</v>
      </c>
    </row>
    <row r="35" spans="2:9" ht="15" customHeight="1" x14ac:dyDescent="0.15">
      <c r="B35" t="s">
        <v>92</v>
      </c>
      <c r="C35" s="12">
        <v>81</v>
      </c>
      <c r="D35" s="8">
        <v>3.85</v>
      </c>
      <c r="E35" s="12">
        <v>44</v>
      </c>
      <c r="F35" s="8">
        <v>3.69</v>
      </c>
      <c r="G35" s="12">
        <v>37</v>
      </c>
      <c r="H35" s="8">
        <v>4.0599999999999996</v>
      </c>
      <c r="I35" s="12">
        <v>0</v>
      </c>
    </row>
    <row r="36" spans="2:9" ht="15" customHeight="1" x14ac:dyDescent="0.15">
      <c r="B36" t="s">
        <v>103</v>
      </c>
      <c r="C36" s="12">
        <v>70</v>
      </c>
      <c r="D36" s="8">
        <v>3.32</v>
      </c>
      <c r="E36" s="12">
        <v>64</v>
      </c>
      <c r="F36" s="8">
        <v>5.36</v>
      </c>
      <c r="G36" s="12">
        <v>6</v>
      </c>
      <c r="H36" s="8">
        <v>0.66</v>
      </c>
      <c r="I36" s="12">
        <v>0</v>
      </c>
    </row>
    <row r="37" spans="2:9" ht="15" customHeight="1" x14ac:dyDescent="0.15">
      <c r="B37" t="s">
        <v>102</v>
      </c>
      <c r="C37" s="12">
        <v>64</v>
      </c>
      <c r="D37" s="8">
        <v>3.04</v>
      </c>
      <c r="E37" s="12">
        <v>46</v>
      </c>
      <c r="F37" s="8">
        <v>3.86</v>
      </c>
      <c r="G37" s="12">
        <v>17</v>
      </c>
      <c r="H37" s="8">
        <v>1.87</v>
      </c>
      <c r="I37" s="12">
        <v>1</v>
      </c>
    </row>
    <row r="38" spans="2:9" ht="15" customHeight="1" x14ac:dyDescent="0.15">
      <c r="B38" t="s">
        <v>93</v>
      </c>
      <c r="C38" s="12">
        <v>58</v>
      </c>
      <c r="D38" s="8">
        <v>2.75</v>
      </c>
      <c r="E38" s="12">
        <v>23</v>
      </c>
      <c r="F38" s="8">
        <v>1.93</v>
      </c>
      <c r="G38" s="12">
        <v>35</v>
      </c>
      <c r="H38" s="8">
        <v>3.84</v>
      </c>
      <c r="I38" s="12">
        <v>0</v>
      </c>
    </row>
    <row r="39" spans="2:9" ht="15" customHeight="1" x14ac:dyDescent="0.15">
      <c r="B39" t="s">
        <v>87</v>
      </c>
      <c r="C39" s="12">
        <v>56</v>
      </c>
      <c r="D39" s="8">
        <v>2.66</v>
      </c>
      <c r="E39" s="12">
        <v>10</v>
      </c>
      <c r="F39" s="8">
        <v>0.84</v>
      </c>
      <c r="G39" s="12">
        <v>46</v>
      </c>
      <c r="H39" s="8">
        <v>5.05</v>
      </c>
      <c r="I39" s="12">
        <v>0</v>
      </c>
    </row>
    <row r="40" spans="2:9" ht="15" customHeight="1" x14ac:dyDescent="0.15">
      <c r="B40" t="s">
        <v>91</v>
      </c>
      <c r="C40" s="12">
        <v>42</v>
      </c>
      <c r="D40" s="8">
        <v>1.99</v>
      </c>
      <c r="E40" s="12">
        <v>17</v>
      </c>
      <c r="F40" s="8">
        <v>1.42</v>
      </c>
      <c r="G40" s="12">
        <v>25</v>
      </c>
      <c r="H40" s="8">
        <v>2.74</v>
      </c>
      <c r="I40" s="12">
        <v>0</v>
      </c>
    </row>
    <row r="41" spans="2:9" ht="15" customHeight="1" x14ac:dyDescent="0.15">
      <c r="B41" t="s">
        <v>98</v>
      </c>
      <c r="C41" s="12">
        <v>40</v>
      </c>
      <c r="D41" s="8">
        <v>1.9</v>
      </c>
      <c r="E41" s="12">
        <v>13</v>
      </c>
      <c r="F41" s="8">
        <v>1.0900000000000001</v>
      </c>
      <c r="G41" s="12">
        <v>27</v>
      </c>
      <c r="H41" s="8">
        <v>2.96</v>
      </c>
      <c r="I41" s="12">
        <v>0</v>
      </c>
    </row>
    <row r="42" spans="2:9" ht="15" customHeight="1" x14ac:dyDescent="0.15">
      <c r="B42" t="s">
        <v>97</v>
      </c>
      <c r="C42" s="12">
        <v>36</v>
      </c>
      <c r="D42" s="8">
        <v>1.71</v>
      </c>
      <c r="E42" s="12">
        <v>26</v>
      </c>
      <c r="F42" s="8">
        <v>2.1800000000000002</v>
      </c>
      <c r="G42" s="12">
        <v>10</v>
      </c>
      <c r="H42" s="8">
        <v>1.1000000000000001</v>
      </c>
      <c r="I42" s="12">
        <v>0</v>
      </c>
    </row>
    <row r="43" spans="2:9" ht="15" customHeight="1" x14ac:dyDescent="0.15">
      <c r="B43" t="s">
        <v>95</v>
      </c>
      <c r="C43" s="12">
        <v>31</v>
      </c>
      <c r="D43" s="8">
        <v>1.47</v>
      </c>
      <c r="E43" s="12">
        <v>5</v>
      </c>
      <c r="F43" s="8">
        <v>0.42</v>
      </c>
      <c r="G43" s="12">
        <v>26</v>
      </c>
      <c r="H43" s="8">
        <v>2.85</v>
      </c>
      <c r="I43" s="12">
        <v>0</v>
      </c>
    </row>
    <row r="44" spans="2:9" ht="15" customHeight="1" x14ac:dyDescent="0.15">
      <c r="B44" t="s">
        <v>88</v>
      </c>
      <c r="C44" s="12">
        <v>28</v>
      </c>
      <c r="D44" s="8">
        <v>1.33</v>
      </c>
      <c r="E44" s="12">
        <v>10</v>
      </c>
      <c r="F44" s="8">
        <v>0.84</v>
      </c>
      <c r="G44" s="12">
        <v>18</v>
      </c>
      <c r="H44" s="8">
        <v>1.98</v>
      </c>
      <c r="I44" s="12">
        <v>0</v>
      </c>
    </row>
    <row r="45" spans="2:9" ht="15" customHeight="1" x14ac:dyDescent="0.15">
      <c r="B45" t="s">
        <v>89</v>
      </c>
      <c r="C45" s="12">
        <v>28</v>
      </c>
      <c r="D45" s="8">
        <v>1.33</v>
      </c>
      <c r="E45" s="12">
        <v>5</v>
      </c>
      <c r="F45" s="8">
        <v>0.42</v>
      </c>
      <c r="G45" s="12">
        <v>23</v>
      </c>
      <c r="H45" s="8">
        <v>2.52</v>
      </c>
      <c r="I45" s="12">
        <v>0</v>
      </c>
    </row>
    <row r="46" spans="2:9" ht="15" customHeight="1" x14ac:dyDescent="0.15">
      <c r="B46" t="s">
        <v>117</v>
      </c>
      <c r="C46" s="12">
        <v>26</v>
      </c>
      <c r="D46" s="8">
        <v>1.23</v>
      </c>
      <c r="E46" s="12">
        <v>16</v>
      </c>
      <c r="F46" s="8">
        <v>1.34</v>
      </c>
      <c r="G46" s="12">
        <v>10</v>
      </c>
      <c r="H46" s="8">
        <v>1.1000000000000001</v>
      </c>
      <c r="I46" s="12">
        <v>0</v>
      </c>
    </row>
    <row r="47" spans="2:9" ht="15" customHeight="1" x14ac:dyDescent="0.15">
      <c r="B47" t="s">
        <v>90</v>
      </c>
      <c r="C47" s="12">
        <v>21</v>
      </c>
      <c r="D47" s="8">
        <v>1</v>
      </c>
      <c r="E47" s="12">
        <v>2</v>
      </c>
      <c r="F47" s="8">
        <v>0.17</v>
      </c>
      <c r="G47" s="12">
        <v>19</v>
      </c>
      <c r="H47" s="8">
        <v>2.09</v>
      </c>
      <c r="I47" s="12">
        <v>0</v>
      </c>
    </row>
    <row r="48" spans="2:9" ht="15" customHeight="1" x14ac:dyDescent="0.15">
      <c r="B48" t="s">
        <v>105</v>
      </c>
      <c r="C48" s="12">
        <v>21</v>
      </c>
      <c r="D48" s="8">
        <v>1</v>
      </c>
      <c r="E48" s="12">
        <v>4</v>
      </c>
      <c r="F48" s="8">
        <v>0.34</v>
      </c>
      <c r="G48" s="12">
        <v>17</v>
      </c>
      <c r="H48" s="8">
        <v>1.87</v>
      </c>
      <c r="I48" s="12">
        <v>0</v>
      </c>
    </row>
    <row r="51" spans="2:9" ht="33" customHeight="1" x14ac:dyDescent="0.15">
      <c r="B51" t="s">
        <v>232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374</v>
      </c>
      <c r="D52" s="8">
        <v>17.760000000000002</v>
      </c>
      <c r="E52" s="12">
        <v>347</v>
      </c>
      <c r="F52" s="8">
        <v>29.09</v>
      </c>
      <c r="G52" s="12">
        <v>27</v>
      </c>
      <c r="H52" s="8">
        <v>2.96</v>
      </c>
      <c r="I52" s="12">
        <v>0</v>
      </c>
    </row>
    <row r="53" spans="2:9" ht="15" customHeight="1" x14ac:dyDescent="0.15">
      <c r="B53" t="s">
        <v>155</v>
      </c>
      <c r="C53" s="12">
        <v>81</v>
      </c>
      <c r="D53" s="8">
        <v>3.85</v>
      </c>
      <c r="E53" s="12">
        <v>67</v>
      </c>
      <c r="F53" s="8">
        <v>5.62</v>
      </c>
      <c r="G53" s="12">
        <v>14</v>
      </c>
      <c r="H53" s="8">
        <v>1.54</v>
      </c>
      <c r="I53" s="12">
        <v>0</v>
      </c>
    </row>
    <row r="54" spans="2:9" ht="15" customHeight="1" x14ac:dyDescent="0.15">
      <c r="B54" t="s">
        <v>147</v>
      </c>
      <c r="C54" s="12">
        <v>53</v>
      </c>
      <c r="D54" s="8">
        <v>2.52</v>
      </c>
      <c r="E54" s="12">
        <v>32</v>
      </c>
      <c r="F54" s="8">
        <v>2.68</v>
      </c>
      <c r="G54" s="12">
        <v>21</v>
      </c>
      <c r="H54" s="8">
        <v>2.31</v>
      </c>
      <c r="I54" s="12">
        <v>0</v>
      </c>
    </row>
    <row r="55" spans="2:9" ht="15" customHeight="1" x14ac:dyDescent="0.15">
      <c r="B55" t="s">
        <v>151</v>
      </c>
      <c r="C55" s="12">
        <v>53</v>
      </c>
      <c r="D55" s="8">
        <v>2.52</v>
      </c>
      <c r="E55" s="12">
        <v>47</v>
      </c>
      <c r="F55" s="8">
        <v>3.94</v>
      </c>
      <c r="G55" s="12">
        <v>6</v>
      </c>
      <c r="H55" s="8">
        <v>0.66</v>
      </c>
      <c r="I55" s="12">
        <v>0</v>
      </c>
    </row>
    <row r="56" spans="2:9" ht="15" customHeight="1" x14ac:dyDescent="0.15">
      <c r="B56" t="s">
        <v>152</v>
      </c>
      <c r="C56" s="12">
        <v>53</v>
      </c>
      <c r="D56" s="8">
        <v>2.52</v>
      </c>
      <c r="E56" s="12">
        <v>48</v>
      </c>
      <c r="F56" s="8">
        <v>4.0199999999999996</v>
      </c>
      <c r="G56" s="12">
        <v>5</v>
      </c>
      <c r="H56" s="8">
        <v>0.55000000000000004</v>
      </c>
      <c r="I56" s="12">
        <v>0</v>
      </c>
    </row>
    <row r="57" spans="2:9" ht="15" customHeight="1" x14ac:dyDescent="0.15">
      <c r="B57" t="s">
        <v>154</v>
      </c>
      <c r="C57" s="12">
        <v>53</v>
      </c>
      <c r="D57" s="8">
        <v>2.52</v>
      </c>
      <c r="E57" s="12">
        <v>50</v>
      </c>
      <c r="F57" s="8">
        <v>4.1900000000000004</v>
      </c>
      <c r="G57" s="12">
        <v>3</v>
      </c>
      <c r="H57" s="8">
        <v>0.33</v>
      </c>
      <c r="I57" s="12">
        <v>0</v>
      </c>
    </row>
    <row r="58" spans="2:9" ht="15" customHeight="1" x14ac:dyDescent="0.15">
      <c r="B58" t="s">
        <v>150</v>
      </c>
      <c r="C58" s="12">
        <v>51</v>
      </c>
      <c r="D58" s="8">
        <v>2.42</v>
      </c>
      <c r="E58" s="12">
        <v>39</v>
      </c>
      <c r="F58" s="8">
        <v>3.27</v>
      </c>
      <c r="G58" s="12">
        <v>12</v>
      </c>
      <c r="H58" s="8">
        <v>1.32</v>
      </c>
      <c r="I58" s="12">
        <v>0</v>
      </c>
    </row>
    <row r="59" spans="2:9" ht="15" customHeight="1" x14ac:dyDescent="0.15">
      <c r="B59" t="s">
        <v>149</v>
      </c>
      <c r="C59" s="12">
        <v>47</v>
      </c>
      <c r="D59" s="8">
        <v>2.23</v>
      </c>
      <c r="E59" s="12">
        <v>13</v>
      </c>
      <c r="F59" s="8">
        <v>1.0900000000000001</v>
      </c>
      <c r="G59" s="12">
        <v>34</v>
      </c>
      <c r="H59" s="8">
        <v>3.73</v>
      </c>
      <c r="I59" s="12">
        <v>0</v>
      </c>
    </row>
    <row r="60" spans="2:9" ht="15" customHeight="1" x14ac:dyDescent="0.15">
      <c r="B60" t="s">
        <v>157</v>
      </c>
      <c r="C60" s="12">
        <v>47</v>
      </c>
      <c r="D60" s="8">
        <v>2.23</v>
      </c>
      <c r="E60" s="12">
        <v>42</v>
      </c>
      <c r="F60" s="8">
        <v>3.52</v>
      </c>
      <c r="G60" s="12">
        <v>5</v>
      </c>
      <c r="H60" s="8">
        <v>0.55000000000000004</v>
      </c>
      <c r="I60" s="12">
        <v>0</v>
      </c>
    </row>
    <row r="61" spans="2:9" ht="15" customHeight="1" x14ac:dyDescent="0.15">
      <c r="B61" t="s">
        <v>138</v>
      </c>
      <c r="C61" s="12">
        <v>43</v>
      </c>
      <c r="D61" s="8">
        <v>2.04</v>
      </c>
      <c r="E61" s="12">
        <v>8</v>
      </c>
      <c r="F61" s="8">
        <v>0.67</v>
      </c>
      <c r="G61" s="12">
        <v>35</v>
      </c>
      <c r="H61" s="8">
        <v>3.84</v>
      </c>
      <c r="I61" s="12">
        <v>0</v>
      </c>
    </row>
    <row r="62" spans="2:9" ht="15" customHeight="1" x14ac:dyDescent="0.15">
      <c r="B62" t="s">
        <v>145</v>
      </c>
      <c r="C62" s="12">
        <v>40</v>
      </c>
      <c r="D62" s="8">
        <v>1.9</v>
      </c>
      <c r="E62" s="12">
        <v>19</v>
      </c>
      <c r="F62" s="8">
        <v>1.59</v>
      </c>
      <c r="G62" s="12">
        <v>21</v>
      </c>
      <c r="H62" s="8">
        <v>2.31</v>
      </c>
      <c r="I62" s="12">
        <v>0</v>
      </c>
    </row>
    <row r="63" spans="2:9" ht="15" customHeight="1" x14ac:dyDescent="0.15">
      <c r="B63" t="s">
        <v>156</v>
      </c>
      <c r="C63" s="12">
        <v>40</v>
      </c>
      <c r="D63" s="8">
        <v>1.9</v>
      </c>
      <c r="E63" s="12">
        <v>33</v>
      </c>
      <c r="F63" s="8">
        <v>2.77</v>
      </c>
      <c r="G63" s="12">
        <v>7</v>
      </c>
      <c r="H63" s="8">
        <v>0.77</v>
      </c>
      <c r="I63" s="12">
        <v>0</v>
      </c>
    </row>
    <row r="64" spans="2:9" ht="15" customHeight="1" x14ac:dyDescent="0.15">
      <c r="B64" t="s">
        <v>174</v>
      </c>
      <c r="C64" s="12">
        <v>37</v>
      </c>
      <c r="D64" s="8">
        <v>1.76</v>
      </c>
      <c r="E64" s="12">
        <v>13</v>
      </c>
      <c r="F64" s="8">
        <v>1.0900000000000001</v>
      </c>
      <c r="G64" s="12">
        <v>24</v>
      </c>
      <c r="H64" s="8">
        <v>2.63</v>
      </c>
      <c r="I64" s="12">
        <v>0</v>
      </c>
    </row>
    <row r="65" spans="2:9" ht="15" customHeight="1" x14ac:dyDescent="0.15">
      <c r="B65" t="s">
        <v>173</v>
      </c>
      <c r="C65" s="12">
        <v>37</v>
      </c>
      <c r="D65" s="8">
        <v>1.76</v>
      </c>
      <c r="E65" s="12">
        <v>33</v>
      </c>
      <c r="F65" s="8">
        <v>2.77</v>
      </c>
      <c r="G65" s="12">
        <v>4</v>
      </c>
      <c r="H65" s="8">
        <v>0.44</v>
      </c>
      <c r="I65" s="12">
        <v>0</v>
      </c>
    </row>
    <row r="66" spans="2:9" ht="15" customHeight="1" x14ac:dyDescent="0.15">
      <c r="B66" t="s">
        <v>144</v>
      </c>
      <c r="C66" s="12">
        <v>35</v>
      </c>
      <c r="D66" s="8">
        <v>1.66</v>
      </c>
      <c r="E66" s="12">
        <v>13</v>
      </c>
      <c r="F66" s="8">
        <v>1.0900000000000001</v>
      </c>
      <c r="G66" s="12">
        <v>22</v>
      </c>
      <c r="H66" s="8">
        <v>2.41</v>
      </c>
      <c r="I66" s="12">
        <v>0</v>
      </c>
    </row>
    <row r="67" spans="2:9" ht="15" customHeight="1" x14ac:dyDescent="0.15">
      <c r="B67" t="s">
        <v>143</v>
      </c>
      <c r="C67" s="12">
        <v>30</v>
      </c>
      <c r="D67" s="8">
        <v>1.42</v>
      </c>
      <c r="E67" s="12">
        <v>13</v>
      </c>
      <c r="F67" s="8">
        <v>1.0900000000000001</v>
      </c>
      <c r="G67" s="12">
        <v>17</v>
      </c>
      <c r="H67" s="8">
        <v>1.87</v>
      </c>
      <c r="I67" s="12">
        <v>0</v>
      </c>
    </row>
    <row r="68" spans="2:9" ht="15" customHeight="1" x14ac:dyDescent="0.15">
      <c r="B68" t="s">
        <v>158</v>
      </c>
      <c r="C68" s="12">
        <v>26</v>
      </c>
      <c r="D68" s="8">
        <v>1.23</v>
      </c>
      <c r="E68" s="12">
        <v>5</v>
      </c>
      <c r="F68" s="8">
        <v>0.42</v>
      </c>
      <c r="G68" s="12">
        <v>21</v>
      </c>
      <c r="H68" s="8">
        <v>2.31</v>
      </c>
      <c r="I68" s="12">
        <v>0</v>
      </c>
    </row>
    <row r="69" spans="2:9" ht="15" customHeight="1" x14ac:dyDescent="0.15">
      <c r="B69" t="s">
        <v>181</v>
      </c>
      <c r="C69" s="12">
        <v>26</v>
      </c>
      <c r="D69" s="8">
        <v>1.23</v>
      </c>
      <c r="E69" s="12">
        <v>16</v>
      </c>
      <c r="F69" s="8">
        <v>1.34</v>
      </c>
      <c r="G69" s="12">
        <v>10</v>
      </c>
      <c r="H69" s="8">
        <v>1.1000000000000001</v>
      </c>
      <c r="I69" s="12">
        <v>0</v>
      </c>
    </row>
    <row r="70" spans="2:9" ht="15" customHeight="1" x14ac:dyDescent="0.15">
      <c r="B70" t="s">
        <v>159</v>
      </c>
      <c r="C70" s="12">
        <v>25</v>
      </c>
      <c r="D70" s="8">
        <v>1.19</v>
      </c>
      <c r="E70" s="12">
        <v>7</v>
      </c>
      <c r="F70" s="8">
        <v>0.59</v>
      </c>
      <c r="G70" s="12">
        <v>18</v>
      </c>
      <c r="H70" s="8">
        <v>1.98</v>
      </c>
      <c r="I70" s="12">
        <v>0</v>
      </c>
    </row>
    <row r="71" spans="2:9" ht="15" customHeight="1" x14ac:dyDescent="0.15">
      <c r="B71" t="s">
        <v>153</v>
      </c>
      <c r="C71" s="12">
        <v>24</v>
      </c>
      <c r="D71" s="8">
        <v>1.1399999999999999</v>
      </c>
      <c r="E71" s="12">
        <v>10</v>
      </c>
      <c r="F71" s="8">
        <v>0.84</v>
      </c>
      <c r="G71" s="12">
        <v>14</v>
      </c>
      <c r="H71" s="8">
        <v>1.54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337</v>
      </c>
      <c r="D6" s="8">
        <v>14.3</v>
      </c>
      <c r="E6" s="12">
        <v>63</v>
      </c>
      <c r="F6" s="8">
        <v>5.58</v>
      </c>
      <c r="G6" s="12">
        <v>274</v>
      </c>
      <c r="H6" s="8">
        <v>22.39</v>
      </c>
      <c r="I6" s="12">
        <v>0</v>
      </c>
    </row>
    <row r="7" spans="2:9" ht="15" customHeight="1" x14ac:dyDescent="0.15">
      <c r="B7" t="s">
        <v>64</v>
      </c>
      <c r="C7" s="12">
        <v>131</v>
      </c>
      <c r="D7" s="8">
        <v>5.56</v>
      </c>
      <c r="E7" s="12">
        <v>32</v>
      </c>
      <c r="F7" s="8">
        <v>2.83</v>
      </c>
      <c r="G7" s="12">
        <v>99</v>
      </c>
      <c r="H7" s="8">
        <v>8.09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66</v>
      </c>
      <c r="C9" s="12">
        <v>21</v>
      </c>
      <c r="D9" s="8">
        <v>0.89</v>
      </c>
      <c r="E9" s="12">
        <v>0</v>
      </c>
      <c r="F9" s="8">
        <v>0</v>
      </c>
      <c r="G9" s="12">
        <v>21</v>
      </c>
      <c r="H9" s="8">
        <v>1.72</v>
      </c>
      <c r="I9" s="12">
        <v>0</v>
      </c>
    </row>
    <row r="10" spans="2:9" ht="15" customHeight="1" x14ac:dyDescent="0.15">
      <c r="B10" t="s">
        <v>67</v>
      </c>
      <c r="C10" s="12">
        <v>24</v>
      </c>
      <c r="D10" s="8">
        <v>1.02</v>
      </c>
      <c r="E10" s="12">
        <v>2</v>
      </c>
      <c r="F10" s="8">
        <v>0.18</v>
      </c>
      <c r="G10" s="12">
        <v>22</v>
      </c>
      <c r="H10" s="8">
        <v>1.8</v>
      </c>
      <c r="I10" s="12">
        <v>0</v>
      </c>
    </row>
    <row r="11" spans="2:9" ht="15" customHeight="1" x14ac:dyDescent="0.15">
      <c r="B11" t="s">
        <v>68</v>
      </c>
      <c r="C11" s="12">
        <v>483</v>
      </c>
      <c r="D11" s="8">
        <v>20.49</v>
      </c>
      <c r="E11" s="12">
        <v>152</v>
      </c>
      <c r="F11" s="8">
        <v>13.45</v>
      </c>
      <c r="G11" s="12">
        <v>331</v>
      </c>
      <c r="H11" s="8">
        <v>27.04</v>
      </c>
      <c r="I11" s="12">
        <v>0</v>
      </c>
    </row>
    <row r="12" spans="2:9" ht="15" customHeight="1" x14ac:dyDescent="0.15">
      <c r="B12" t="s">
        <v>69</v>
      </c>
      <c r="C12" s="12">
        <v>14</v>
      </c>
      <c r="D12" s="8">
        <v>0.59</v>
      </c>
      <c r="E12" s="12">
        <v>4</v>
      </c>
      <c r="F12" s="8">
        <v>0.35</v>
      </c>
      <c r="G12" s="12">
        <v>10</v>
      </c>
      <c r="H12" s="8">
        <v>0.82</v>
      </c>
      <c r="I12" s="12">
        <v>0</v>
      </c>
    </row>
    <row r="13" spans="2:9" ht="15" customHeight="1" x14ac:dyDescent="0.15">
      <c r="B13" t="s">
        <v>70</v>
      </c>
      <c r="C13" s="12">
        <v>412</v>
      </c>
      <c r="D13" s="8">
        <v>17.48</v>
      </c>
      <c r="E13" s="12">
        <v>237</v>
      </c>
      <c r="F13" s="8">
        <v>20.97</v>
      </c>
      <c r="G13" s="12">
        <v>175</v>
      </c>
      <c r="H13" s="8">
        <v>14.3</v>
      </c>
      <c r="I13" s="12">
        <v>0</v>
      </c>
    </row>
    <row r="14" spans="2:9" ht="15" customHeight="1" x14ac:dyDescent="0.15">
      <c r="B14" t="s">
        <v>71</v>
      </c>
      <c r="C14" s="12">
        <v>112</v>
      </c>
      <c r="D14" s="8">
        <v>4.75</v>
      </c>
      <c r="E14" s="12">
        <v>52</v>
      </c>
      <c r="F14" s="8">
        <v>4.5999999999999996</v>
      </c>
      <c r="G14" s="12">
        <v>60</v>
      </c>
      <c r="H14" s="8">
        <v>4.9000000000000004</v>
      </c>
      <c r="I14" s="12">
        <v>0</v>
      </c>
    </row>
    <row r="15" spans="2:9" ht="15" customHeight="1" x14ac:dyDescent="0.15">
      <c r="B15" t="s">
        <v>72</v>
      </c>
      <c r="C15" s="12">
        <v>249</v>
      </c>
      <c r="D15" s="8">
        <v>10.56</v>
      </c>
      <c r="E15" s="12">
        <v>203</v>
      </c>
      <c r="F15" s="8">
        <v>17.96</v>
      </c>
      <c r="G15" s="12">
        <v>46</v>
      </c>
      <c r="H15" s="8">
        <v>3.76</v>
      </c>
      <c r="I15" s="12">
        <v>0</v>
      </c>
    </row>
    <row r="16" spans="2:9" ht="15" customHeight="1" x14ac:dyDescent="0.15">
      <c r="B16" t="s">
        <v>73</v>
      </c>
      <c r="C16" s="12">
        <v>273</v>
      </c>
      <c r="D16" s="8">
        <v>11.58</v>
      </c>
      <c r="E16" s="12">
        <v>197</v>
      </c>
      <c r="F16" s="8">
        <v>17.43</v>
      </c>
      <c r="G16" s="12">
        <v>76</v>
      </c>
      <c r="H16" s="8">
        <v>6.21</v>
      </c>
      <c r="I16" s="12">
        <v>0</v>
      </c>
    </row>
    <row r="17" spans="2:9" ht="15" customHeight="1" x14ac:dyDescent="0.15">
      <c r="B17" t="s">
        <v>74</v>
      </c>
      <c r="C17" s="12">
        <v>111</v>
      </c>
      <c r="D17" s="8">
        <v>4.71</v>
      </c>
      <c r="E17" s="12">
        <v>85</v>
      </c>
      <c r="F17" s="8">
        <v>7.52</v>
      </c>
      <c r="G17" s="12">
        <v>26</v>
      </c>
      <c r="H17" s="8">
        <v>2.12</v>
      </c>
      <c r="I17" s="12">
        <v>0</v>
      </c>
    </row>
    <row r="18" spans="2:9" ht="15" customHeight="1" x14ac:dyDescent="0.15">
      <c r="B18" t="s">
        <v>75</v>
      </c>
      <c r="C18" s="12">
        <v>114</v>
      </c>
      <c r="D18" s="8">
        <v>4.84</v>
      </c>
      <c r="E18" s="12">
        <v>78</v>
      </c>
      <c r="F18" s="8">
        <v>6.9</v>
      </c>
      <c r="G18" s="12">
        <v>35</v>
      </c>
      <c r="H18" s="8">
        <v>2.86</v>
      </c>
      <c r="I18" s="12">
        <v>1</v>
      </c>
    </row>
    <row r="19" spans="2:9" ht="15" customHeight="1" x14ac:dyDescent="0.15">
      <c r="B19" t="s">
        <v>76</v>
      </c>
      <c r="C19" s="12">
        <v>75</v>
      </c>
      <c r="D19" s="8">
        <v>3.18</v>
      </c>
      <c r="E19" s="12">
        <v>25</v>
      </c>
      <c r="F19" s="8">
        <v>2.21</v>
      </c>
      <c r="G19" s="12">
        <v>48</v>
      </c>
      <c r="H19" s="8">
        <v>3.92</v>
      </c>
      <c r="I19" s="12">
        <v>2</v>
      </c>
    </row>
    <row r="20" spans="2:9" ht="15" customHeight="1" x14ac:dyDescent="0.15">
      <c r="B20" s="9" t="s">
        <v>216</v>
      </c>
      <c r="C20" s="12">
        <f>SUM(LTBL_14215[総数／事業所数])</f>
        <v>2357</v>
      </c>
      <c r="E20" s="12">
        <f>SUBTOTAL(109,LTBL_14215[個人／事業所数])</f>
        <v>1130</v>
      </c>
      <c r="G20" s="12">
        <f>SUBTOTAL(109,LTBL_14215[法人／事業所数])</f>
        <v>1224</v>
      </c>
      <c r="I20" s="12">
        <f>SUBTOTAL(109,LTBL_14215[法人以外の団体／事業所数])</f>
        <v>3</v>
      </c>
    </row>
    <row r="21" spans="2:9" ht="15" customHeight="1" x14ac:dyDescent="0.15">
      <c r="E21" s="11">
        <f>LTBL_14215[[#Totals],[個人／事業所数]]/LTBL_14215[[#Totals],[総数／事業所数]]</f>
        <v>0.47942299533305049</v>
      </c>
      <c r="G21" s="11">
        <f>LTBL_14215[[#Totals],[法人／事業所数]]/LTBL_14215[[#Totals],[総数／事業所数]]</f>
        <v>0.51930420025456092</v>
      </c>
      <c r="I21" s="11">
        <f>LTBL_14215[[#Totals],[法人以外の団体／事業所数]]/LTBL_14215[[#Totals],[総数／事業所数]]</f>
        <v>1.2728044123886295E-3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380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9</v>
      </c>
      <c r="D24" t="s">
        <v>217</v>
      </c>
      <c r="E24">
        <v>0</v>
      </c>
      <c r="F24" t="s">
        <v>219</v>
      </c>
      <c r="G24">
        <v>9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336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353</v>
      </c>
      <c r="D29" s="8">
        <v>14.98</v>
      </c>
      <c r="E29" s="12">
        <v>230</v>
      </c>
      <c r="F29" s="8">
        <v>20.350000000000001</v>
      </c>
      <c r="G29" s="12">
        <v>123</v>
      </c>
      <c r="H29" s="8">
        <v>10.050000000000001</v>
      </c>
      <c r="I29" s="12">
        <v>0</v>
      </c>
    </row>
    <row r="30" spans="2:9" ht="15" customHeight="1" x14ac:dyDescent="0.15">
      <c r="B30" t="s">
        <v>99</v>
      </c>
      <c r="C30" s="12">
        <v>238</v>
      </c>
      <c r="D30" s="8">
        <v>10.1</v>
      </c>
      <c r="E30" s="12">
        <v>198</v>
      </c>
      <c r="F30" s="8">
        <v>17.52</v>
      </c>
      <c r="G30" s="12">
        <v>40</v>
      </c>
      <c r="H30" s="8">
        <v>3.27</v>
      </c>
      <c r="I30" s="12">
        <v>0</v>
      </c>
    </row>
    <row r="31" spans="2:9" ht="15" customHeight="1" x14ac:dyDescent="0.15">
      <c r="B31" t="s">
        <v>100</v>
      </c>
      <c r="C31" s="12">
        <v>230</v>
      </c>
      <c r="D31" s="8">
        <v>9.76</v>
      </c>
      <c r="E31" s="12">
        <v>185</v>
      </c>
      <c r="F31" s="8">
        <v>16.37</v>
      </c>
      <c r="G31" s="12">
        <v>45</v>
      </c>
      <c r="H31" s="8">
        <v>3.68</v>
      </c>
      <c r="I31" s="12">
        <v>0</v>
      </c>
    </row>
    <row r="32" spans="2:9" ht="15" customHeight="1" x14ac:dyDescent="0.15">
      <c r="B32" t="s">
        <v>85</v>
      </c>
      <c r="C32" s="12">
        <v>140</v>
      </c>
      <c r="D32" s="8">
        <v>5.94</v>
      </c>
      <c r="E32" s="12">
        <v>20</v>
      </c>
      <c r="F32" s="8">
        <v>1.77</v>
      </c>
      <c r="G32" s="12">
        <v>120</v>
      </c>
      <c r="H32" s="8">
        <v>9.8000000000000007</v>
      </c>
      <c r="I32" s="12">
        <v>0</v>
      </c>
    </row>
    <row r="33" spans="2:9" ht="15" customHeight="1" x14ac:dyDescent="0.15">
      <c r="B33" t="s">
        <v>86</v>
      </c>
      <c r="C33" s="12">
        <v>111</v>
      </c>
      <c r="D33" s="8">
        <v>4.71</v>
      </c>
      <c r="E33" s="12">
        <v>36</v>
      </c>
      <c r="F33" s="8">
        <v>3.19</v>
      </c>
      <c r="G33" s="12">
        <v>75</v>
      </c>
      <c r="H33" s="8">
        <v>6.13</v>
      </c>
      <c r="I33" s="12">
        <v>0</v>
      </c>
    </row>
    <row r="34" spans="2:9" ht="15" customHeight="1" x14ac:dyDescent="0.15">
      <c r="B34" t="s">
        <v>94</v>
      </c>
      <c r="C34" s="12">
        <v>111</v>
      </c>
      <c r="D34" s="8">
        <v>4.71</v>
      </c>
      <c r="E34" s="12">
        <v>48</v>
      </c>
      <c r="F34" s="8">
        <v>4.25</v>
      </c>
      <c r="G34" s="12">
        <v>63</v>
      </c>
      <c r="H34" s="8">
        <v>5.15</v>
      </c>
      <c r="I34" s="12">
        <v>0</v>
      </c>
    </row>
    <row r="35" spans="2:9" ht="15" customHeight="1" x14ac:dyDescent="0.15">
      <c r="B35" t="s">
        <v>102</v>
      </c>
      <c r="C35" s="12">
        <v>111</v>
      </c>
      <c r="D35" s="8">
        <v>4.71</v>
      </c>
      <c r="E35" s="12">
        <v>85</v>
      </c>
      <c r="F35" s="8">
        <v>7.52</v>
      </c>
      <c r="G35" s="12">
        <v>26</v>
      </c>
      <c r="H35" s="8">
        <v>2.12</v>
      </c>
      <c r="I35" s="12">
        <v>0</v>
      </c>
    </row>
    <row r="36" spans="2:9" ht="15" customHeight="1" x14ac:dyDescent="0.15">
      <c r="B36" t="s">
        <v>91</v>
      </c>
      <c r="C36" s="12">
        <v>93</v>
      </c>
      <c r="D36" s="8">
        <v>3.95</v>
      </c>
      <c r="E36" s="12">
        <v>22</v>
      </c>
      <c r="F36" s="8">
        <v>1.95</v>
      </c>
      <c r="G36" s="12">
        <v>71</v>
      </c>
      <c r="H36" s="8">
        <v>5.8</v>
      </c>
      <c r="I36" s="12">
        <v>0</v>
      </c>
    </row>
    <row r="37" spans="2:9" ht="15" customHeight="1" x14ac:dyDescent="0.15">
      <c r="B37" t="s">
        <v>103</v>
      </c>
      <c r="C37" s="12">
        <v>87</v>
      </c>
      <c r="D37" s="8">
        <v>3.69</v>
      </c>
      <c r="E37" s="12">
        <v>75</v>
      </c>
      <c r="F37" s="8">
        <v>6.64</v>
      </c>
      <c r="G37" s="12">
        <v>12</v>
      </c>
      <c r="H37" s="8">
        <v>0.98</v>
      </c>
      <c r="I37" s="12">
        <v>0</v>
      </c>
    </row>
    <row r="38" spans="2:9" ht="15" customHeight="1" x14ac:dyDescent="0.15">
      <c r="B38" t="s">
        <v>87</v>
      </c>
      <c r="C38" s="12">
        <v>86</v>
      </c>
      <c r="D38" s="8">
        <v>3.65</v>
      </c>
      <c r="E38" s="12">
        <v>7</v>
      </c>
      <c r="F38" s="8">
        <v>0.62</v>
      </c>
      <c r="G38" s="12">
        <v>79</v>
      </c>
      <c r="H38" s="8">
        <v>6.45</v>
      </c>
      <c r="I38" s="12">
        <v>0</v>
      </c>
    </row>
    <row r="39" spans="2:9" ht="15" customHeight="1" x14ac:dyDescent="0.15">
      <c r="B39" t="s">
        <v>92</v>
      </c>
      <c r="C39" s="12">
        <v>78</v>
      </c>
      <c r="D39" s="8">
        <v>3.31</v>
      </c>
      <c r="E39" s="12">
        <v>38</v>
      </c>
      <c r="F39" s="8">
        <v>3.36</v>
      </c>
      <c r="G39" s="12">
        <v>40</v>
      </c>
      <c r="H39" s="8">
        <v>3.27</v>
      </c>
      <c r="I39" s="12">
        <v>0</v>
      </c>
    </row>
    <row r="40" spans="2:9" ht="15" customHeight="1" x14ac:dyDescent="0.15">
      <c r="B40" t="s">
        <v>93</v>
      </c>
      <c r="C40" s="12">
        <v>64</v>
      </c>
      <c r="D40" s="8">
        <v>2.72</v>
      </c>
      <c r="E40" s="12">
        <v>21</v>
      </c>
      <c r="F40" s="8">
        <v>1.86</v>
      </c>
      <c r="G40" s="12">
        <v>43</v>
      </c>
      <c r="H40" s="8">
        <v>3.51</v>
      </c>
      <c r="I40" s="12">
        <v>0</v>
      </c>
    </row>
    <row r="41" spans="2:9" ht="15" customHeight="1" x14ac:dyDescent="0.15">
      <c r="B41" t="s">
        <v>98</v>
      </c>
      <c r="C41" s="12">
        <v>58</v>
      </c>
      <c r="D41" s="8">
        <v>2.46</v>
      </c>
      <c r="E41" s="12">
        <v>19</v>
      </c>
      <c r="F41" s="8">
        <v>1.68</v>
      </c>
      <c r="G41" s="12">
        <v>39</v>
      </c>
      <c r="H41" s="8">
        <v>3.19</v>
      </c>
      <c r="I41" s="12">
        <v>0</v>
      </c>
    </row>
    <row r="42" spans="2:9" ht="15" customHeight="1" x14ac:dyDescent="0.15">
      <c r="B42" t="s">
        <v>97</v>
      </c>
      <c r="C42" s="12">
        <v>51</v>
      </c>
      <c r="D42" s="8">
        <v>2.16</v>
      </c>
      <c r="E42" s="12">
        <v>32</v>
      </c>
      <c r="F42" s="8">
        <v>2.83</v>
      </c>
      <c r="G42" s="12">
        <v>19</v>
      </c>
      <c r="H42" s="8">
        <v>1.55</v>
      </c>
      <c r="I42" s="12">
        <v>0</v>
      </c>
    </row>
    <row r="43" spans="2:9" ht="15" customHeight="1" x14ac:dyDescent="0.15">
      <c r="B43" t="s">
        <v>95</v>
      </c>
      <c r="C43" s="12">
        <v>49</v>
      </c>
      <c r="D43" s="8">
        <v>2.08</v>
      </c>
      <c r="E43" s="12">
        <v>4</v>
      </c>
      <c r="F43" s="8">
        <v>0.35</v>
      </c>
      <c r="G43" s="12">
        <v>45</v>
      </c>
      <c r="H43" s="8">
        <v>3.68</v>
      </c>
      <c r="I43" s="12">
        <v>0</v>
      </c>
    </row>
    <row r="44" spans="2:9" ht="15" customHeight="1" x14ac:dyDescent="0.15">
      <c r="B44" t="s">
        <v>90</v>
      </c>
      <c r="C44" s="12">
        <v>37</v>
      </c>
      <c r="D44" s="8">
        <v>1.57</v>
      </c>
      <c r="E44" s="12">
        <v>4</v>
      </c>
      <c r="F44" s="8">
        <v>0.35</v>
      </c>
      <c r="G44" s="12">
        <v>33</v>
      </c>
      <c r="H44" s="8">
        <v>2.7</v>
      </c>
      <c r="I44" s="12">
        <v>0</v>
      </c>
    </row>
    <row r="45" spans="2:9" ht="15" customHeight="1" x14ac:dyDescent="0.15">
      <c r="B45" t="s">
        <v>104</v>
      </c>
      <c r="C45" s="12">
        <v>31</v>
      </c>
      <c r="D45" s="8">
        <v>1.32</v>
      </c>
      <c r="E45" s="12">
        <v>5</v>
      </c>
      <c r="F45" s="8">
        <v>0.44</v>
      </c>
      <c r="G45" s="12">
        <v>25</v>
      </c>
      <c r="H45" s="8">
        <v>2.04</v>
      </c>
      <c r="I45" s="12">
        <v>1</v>
      </c>
    </row>
    <row r="46" spans="2:9" ht="15" customHeight="1" x14ac:dyDescent="0.15">
      <c r="B46" t="s">
        <v>105</v>
      </c>
      <c r="C46" s="12">
        <v>27</v>
      </c>
      <c r="D46" s="8">
        <v>1.1499999999999999</v>
      </c>
      <c r="E46" s="12">
        <v>6</v>
      </c>
      <c r="F46" s="8">
        <v>0.53</v>
      </c>
      <c r="G46" s="12">
        <v>21</v>
      </c>
      <c r="H46" s="8">
        <v>1.72</v>
      </c>
      <c r="I46" s="12">
        <v>0</v>
      </c>
    </row>
    <row r="47" spans="2:9" ht="15" customHeight="1" x14ac:dyDescent="0.15">
      <c r="B47" t="s">
        <v>108</v>
      </c>
      <c r="C47" s="12">
        <v>27</v>
      </c>
      <c r="D47" s="8">
        <v>1.1499999999999999</v>
      </c>
      <c r="E47" s="12">
        <v>3</v>
      </c>
      <c r="F47" s="8">
        <v>0.27</v>
      </c>
      <c r="G47" s="12">
        <v>23</v>
      </c>
      <c r="H47" s="8">
        <v>1.88</v>
      </c>
      <c r="I47" s="12">
        <v>1</v>
      </c>
    </row>
    <row r="48" spans="2:9" ht="15" customHeight="1" x14ac:dyDescent="0.15">
      <c r="B48" t="s">
        <v>106</v>
      </c>
      <c r="C48" s="12">
        <v>26</v>
      </c>
      <c r="D48" s="8">
        <v>1.1000000000000001</v>
      </c>
      <c r="E48" s="12">
        <v>3</v>
      </c>
      <c r="F48" s="8">
        <v>0.27</v>
      </c>
      <c r="G48" s="12">
        <v>23</v>
      </c>
      <c r="H48" s="8">
        <v>1.88</v>
      </c>
      <c r="I48" s="12">
        <v>0</v>
      </c>
    </row>
    <row r="51" spans="2:9" ht="33" customHeight="1" x14ac:dyDescent="0.15">
      <c r="B51" t="s">
        <v>381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192</v>
      </c>
      <c r="D52" s="8">
        <v>8.15</v>
      </c>
      <c r="E52" s="12">
        <v>147</v>
      </c>
      <c r="F52" s="8">
        <v>13.01</v>
      </c>
      <c r="G52" s="12">
        <v>45</v>
      </c>
      <c r="H52" s="8">
        <v>3.68</v>
      </c>
      <c r="I52" s="12">
        <v>0</v>
      </c>
    </row>
    <row r="53" spans="2:9" ht="15" customHeight="1" x14ac:dyDescent="0.15">
      <c r="B53" t="s">
        <v>155</v>
      </c>
      <c r="C53" s="12">
        <v>118</v>
      </c>
      <c r="D53" s="8">
        <v>5.01</v>
      </c>
      <c r="E53" s="12">
        <v>99</v>
      </c>
      <c r="F53" s="8">
        <v>8.76</v>
      </c>
      <c r="G53" s="12">
        <v>19</v>
      </c>
      <c r="H53" s="8">
        <v>1.55</v>
      </c>
      <c r="I53" s="12">
        <v>0</v>
      </c>
    </row>
    <row r="54" spans="2:9" ht="15" customHeight="1" x14ac:dyDescent="0.15">
      <c r="B54" t="s">
        <v>147</v>
      </c>
      <c r="C54" s="12">
        <v>77</v>
      </c>
      <c r="D54" s="8">
        <v>3.27</v>
      </c>
      <c r="E54" s="12">
        <v>45</v>
      </c>
      <c r="F54" s="8">
        <v>3.98</v>
      </c>
      <c r="G54" s="12">
        <v>32</v>
      </c>
      <c r="H54" s="8">
        <v>2.61</v>
      </c>
      <c r="I54" s="12">
        <v>0</v>
      </c>
    </row>
    <row r="55" spans="2:9" ht="15" customHeight="1" x14ac:dyDescent="0.15">
      <c r="B55" t="s">
        <v>156</v>
      </c>
      <c r="C55" s="12">
        <v>76</v>
      </c>
      <c r="D55" s="8">
        <v>3.22</v>
      </c>
      <c r="E55" s="12">
        <v>61</v>
      </c>
      <c r="F55" s="8">
        <v>5.4</v>
      </c>
      <c r="G55" s="12">
        <v>15</v>
      </c>
      <c r="H55" s="8">
        <v>1.23</v>
      </c>
      <c r="I55" s="12">
        <v>0</v>
      </c>
    </row>
    <row r="56" spans="2:9" ht="15" customHeight="1" x14ac:dyDescent="0.15">
      <c r="B56" t="s">
        <v>151</v>
      </c>
      <c r="C56" s="12">
        <v>69</v>
      </c>
      <c r="D56" s="8">
        <v>2.93</v>
      </c>
      <c r="E56" s="12">
        <v>60</v>
      </c>
      <c r="F56" s="8">
        <v>5.31</v>
      </c>
      <c r="G56" s="12">
        <v>9</v>
      </c>
      <c r="H56" s="8">
        <v>0.74</v>
      </c>
      <c r="I56" s="12">
        <v>0</v>
      </c>
    </row>
    <row r="57" spans="2:9" ht="15" customHeight="1" x14ac:dyDescent="0.15">
      <c r="B57" t="s">
        <v>157</v>
      </c>
      <c r="C57" s="12">
        <v>64</v>
      </c>
      <c r="D57" s="8">
        <v>2.72</v>
      </c>
      <c r="E57" s="12">
        <v>56</v>
      </c>
      <c r="F57" s="8">
        <v>4.96</v>
      </c>
      <c r="G57" s="12">
        <v>8</v>
      </c>
      <c r="H57" s="8">
        <v>0.65</v>
      </c>
      <c r="I57" s="12">
        <v>0</v>
      </c>
    </row>
    <row r="58" spans="2:9" ht="15" customHeight="1" x14ac:dyDescent="0.15">
      <c r="B58" t="s">
        <v>150</v>
      </c>
      <c r="C58" s="12">
        <v>58</v>
      </c>
      <c r="D58" s="8">
        <v>2.46</v>
      </c>
      <c r="E58" s="12">
        <v>42</v>
      </c>
      <c r="F58" s="8">
        <v>3.72</v>
      </c>
      <c r="G58" s="12">
        <v>16</v>
      </c>
      <c r="H58" s="8">
        <v>1.31</v>
      </c>
      <c r="I58" s="12">
        <v>0</v>
      </c>
    </row>
    <row r="59" spans="2:9" ht="15" customHeight="1" x14ac:dyDescent="0.15">
      <c r="B59" t="s">
        <v>154</v>
      </c>
      <c r="C59" s="12">
        <v>55</v>
      </c>
      <c r="D59" s="8">
        <v>2.33</v>
      </c>
      <c r="E59" s="12">
        <v>52</v>
      </c>
      <c r="F59" s="8">
        <v>4.5999999999999996</v>
      </c>
      <c r="G59" s="12">
        <v>3</v>
      </c>
      <c r="H59" s="8">
        <v>0.25</v>
      </c>
      <c r="I59" s="12">
        <v>0</v>
      </c>
    </row>
    <row r="60" spans="2:9" ht="15" customHeight="1" x14ac:dyDescent="0.15">
      <c r="B60" t="s">
        <v>152</v>
      </c>
      <c r="C60" s="12">
        <v>53</v>
      </c>
      <c r="D60" s="8">
        <v>2.25</v>
      </c>
      <c r="E60" s="12">
        <v>50</v>
      </c>
      <c r="F60" s="8">
        <v>4.42</v>
      </c>
      <c r="G60" s="12">
        <v>3</v>
      </c>
      <c r="H60" s="8">
        <v>0.25</v>
      </c>
      <c r="I60" s="12">
        <v>0</v>
      </c>
    </row>
    <row r="61" spans="2:9" ht="15" customHeight="1" x14ac:dyDescent="0.15">
      <c r="B61" t="s">
        <v>142</v>
      </c>
      <c r="C61" s="12">
        <v>47</v>
      </c>
      <c r="D61" s="8">
        <v>1.99</v>
      </c>
      <c r="E61" s="12">
        <v>12</v>
      </c>
      <c r="F61" s="8">
        <v>1.06</v>
      </c>
      <c r="G61" s="12">
        <v>35</v>
      </c>
      <c r="H61" s="8">
        <v>2.86</v>
      </c>
      <c r="I61" s="12">
        <v>0</v>
      </c>
    </row>
    <row r="62" spans="2:9" ht="15" customHeight="1" x14ac:dyDescent="0.15">
      <c r="B62" t="s">
        <v>144</v>
      </c>
      <c r="C62" s="12">
        <v>45</v>
      </c>
      <c r="D62" s="8">
        <v>1.91</v>
      </c>
      <c r="E62" s="12">
        <v>15</v>
      </c>
      <c r="F62" s="8">
        <v>1.33</v>
      </c>
      <c r="G62" s="12">
        <v>30</v>
      </c>
      <c r="H62" s="8">
        <v>2.4500000000000002</v>
      </c>
      <c r="I62" s="12">
        <v>0</v>
      </c>
    </row>
    <row r="63" spans="2:9" ht="15" customHeight="1" x14ac:dyDescent="0.15">
      <c r="B63" t="s">
        <v>173</v>
      </c>
      <c r="C63" s="12">
        <v>42</v>
      </c>
      <c r="D63" s="8">
        <v>1.78</v>
      </c>
      <c r="E63" s="12">
        <v>33</v>
      </c>
      <c r="F63" s="8">
        <v>2.92</v>
      </c>
      <c r="G63" s="12">
        <v>9</v>
      </c>
      <c r="H63" s="8">
        <v>0.74</v>
      </c>
      <c r="I63" s="12">
        <v>0</v>
      </c>
    </row>
    <row r="64" spans="2:9" ht="15" customHeight="1" x14ac:dyDescent="0.15">
      <c r="B64" t="s">
        <v>149</v>
      </c>
      <c r="C64" s="12">
        <v>42</v>
      </c>
      <c r="D64" s="8">
        <v>1.78</v>
      </c>
      <c r="E64" s="12">
        <v>5</v>
      </c>
      <c r="F64" s="8">
        <v>0.44</v>
      </c>
      <c r="G64" s="12">
        <v>37</v>
      </c>
      <c r="H64" s="8">
        <v>3.02</v>
      </c>
      <c r="I64" s="12">
        <v>0</v>
      </c>
    </row>
    <row r="65" spans="2:9" ht="15" customHeight="1" x14ac:dyDescent="0.15">
      <c r="B65" t="s">
        <v>140</v>
      </c>
      <c r="C65" s="12">
        <v>40</v>
      </c>
      <c r="D65" s="8">
        <v>1.7</v>
      </c>
      <c r="E65" s="12">
        <v>5</v>
      </c>
      <c r="F65" s="8">
        <v>0.44</v>
      </c>
      <c r="G65" s="12">
        <v>35</v>
      </c>
      <c r="H65" s="8">
        <v>2.86</v>
      </c>
      <c r="I65" s="12">
        <v>0</v>
      </c>
    </row>
    <row r="66" spans="2:9" ht="15" customHeight="1" x14ac:dyDescent="0.15">
      <c r="B66" t="s">
        <v>139</v>
      </c>
      <c r="C66" s="12">
        <v>39</v>
      </c>
      <c r="D66" s="8">
        <v>1.65</v>
      </c>
      <c r="E66" s="12">
        <v>4</v>
      </c>
      <c r="F66" s="8">
        <v>0.35</v>
      </c>
      <c r="G66" s="12">
        <v>35</v>
      </c>
      <c r="H66" s="8">
        <v>2.86</v>
      </c>
      <c r="I66" s="12">
        <v>0</v>
      </c>
    </row>
    <row r="67" spans="2:9" ht="15" customHeight="1" x14ac:dyDescent="0.15">
      <c r="B67" t="s">
        <v>153</v>
      </c>
      <c r="C67" s="12">
        <v>38</v>
      </c>
      <c r="D67" s="8">
        <v>1.61</v>
      </c>
      <c r="E67" s="12">
        <v>20</v>
      </c>
      <c r="F67" s="8">
        <v>1.77</v>
      </c>
      <c r="G67" s="12">
        <v>18</v>
      </c>
      <c r="H67" s="8">
        <v>1.47</v>
      </c>
      <c r="I67" s="12">
        <v>0</v>
      </c>
    </row>
    <row r="68" spans="2:9" ht="15" customHeight="1" x14ac:dyDescent="0.15">
      <c r="B68" t="s">
        <v>174</v>
      </c>
      <c r="C68" s="12">
        <v>35</v>
      </c>
      <c r="D68" s="8">
        <v>1.48</v>
      </c>
      <c r="E68" s="12">
        <v>7</v>
      </c>
      <c r="F68" s="8">
        <v>0.62</v>
      </c>
      <c r="G68" s="12">
        <v>28</v>
      </c>
      <c r="H68" s="8">
        <v>2.29</v>
      </c>
      <c r="I68" s="12">
        <v>0</v>
      </c>
    </row>
    <row r="69" spans="2:9" ht="15" customHeight="1" x14ac:dyDescent="0.15">
      <c r="B69" t="s">
        <v>146</v>
      </c>
      <c r="C69" s="12">
        <v>35</v>
      </c>
      <c r="D69" s="8">
        <v>1.48</v>
      </c>
      <c r="E69" s="12">
        <v>3</v>
      </c>
      <c r="F69" s="8">
        <v>0.27</v>
      </c>
      <c r="G69" s="12">
        <v>32</v>
      </c>
      <c r="H69" s="8">
        <v>2.61</v>
      </c>
      <c r="I69" s="12">
        <v>0</v>
      </c>
    </row>
    <row r="70" spans="2:9" ht="15" customHeight="1" x14ac:dyDescent="0.15">
      <c r="B70" t="s">
        <v>138</v>
      </c>
      <c r="C70" s="12">
        <v>34</v>
      </c>
      <c r="D70" s="8">
        <v>1.44</v>
      </c>
      <c r="E70" s="12">
        <v>3</v>
      </c>
      <c r="F70" s="8">
        <v>0.27</v>
      </c>
      <c r="G70" s="12">
        <v>31</v>
      </c>
      <c r="H70" s="8">
        <v>2.5299999999999998</v>
      </c>
      <c r="I70" s="12">
        <v>0</v>
      </c>
    </row>
    <row r="71" spans="2:9" ht="15" customHeight="1" x14ac:dyDescent="0.15">
      <c r="B71" t="s">
        <v>175</v>
      </c>
      <c r="C71" s="12">
        <v>33</v>
      </c>
      <c r="D71" s="8">
        <v>1.4</v>
      </c>
      <c r="E71" s="12">
        <v>24</v>
      </c>
      <c r="F71" s="8">
        <v>2.12</v>
      </c>
      <c r="G71" s="12">
        <v>9</v>
      </c>
      <c r="H71" s="8">
        <v>0.74</v>
      </c>
      <c r="I71" s="12">
        <v>0</v>
      </c>
    </row>
    <row r="73" spans="2:9" ht="15" customHeight="1" x14ac:dyDescent="0.15">
      <c r="B73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326</v>
      </c>
      <c r="D6" s="8">
        <v>16.28</v>
      </c>
      <c r="E6" s="12">
        <v>77</v>
      </c>
      <c r="F6" s="8">
        <v>7.29</v>
      </c>
      <c r="G6" s="12">
        <v>249</v>
      </c>
      <c r="H6" s="8">
        <v>26.38</v>
      </c>
      <c r="I6" s="12">
        <v>0</v>
      </c>
    </row>
    <row r="7" spans="2:9" ht="15" customHeight="1" x14ac:dyDescent="0.15">
      <c r="B7" t="s">
        <v>64</v>
      </c>
      <c r="C7" s="12">
        <v>131</v>
      </c>
      <c r="D7" s="8">
        <v>6.54</v>
      </c>
      <c r="E7" s="12">
        <v>26</v>
      </c>
      <c r="F7" s="8">
        <v>2.46</v>
      </c>
      <c r="G7" s="12">
        <v>105</v>
      </c>
      <c r="H7" s="8">
        <v>11.12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19</v>
      </c>
      <c r="D9" s="8">
        <v>0.95</v>
      </c>
      <c r="E9" s="12">
        <v>2</v>
      </c>
      <c r="F9" s="8">
        <v>0.19</v>
      </c>
      <c r="G9" s="12">
        <v>17</v>
      </c>
      <c r="H9" s="8">
        <v>1.8</v>
      </c>
      <c r="I9" s="12">
        <v>0</v>
      </c>
    </row>
    <row r="10" spans="2:9" ht="15" customHeight="1" x14ac:dyDescent="0.15">
      <c r="B10" t="s">
        <v>67</v>
      </c>
      <c r="C10" s="12">
        <v>22</v>
      </c>
      <c r="D10" s="8">
        <v>1.1000000000000001</v>
      </c>
      <c r="E10" s="12">
        <v>3</v>
      </c>
      <c r="F10" s="8">
        <v>0.28000000000000003</v>
      </c>
      <c r="G10" s="12">
        <v>19</v>
      </c>
      <c r="H10" s="8">
        <v>2.0099999999999998</v>
      </c>
      <c r="I10" s="12">
        <v>0</v>
      </c>
    </row>
    <row r="11" spans="2:9" ht="15" customHeight="1" x14ac:dyDescent="0.15">
      <c r="B11" t="s">
        <v>68</v>
      </c>
      <c r="C11" s="12">
        <v>363</v>
      </c>
      <c r="D11" s="8">
        <v>18.13</v>
      </c>
      <c r="E11" s="12">
        <v>160</v>
      </c>
      <c r="F11" s="8">
        <v>15.15</v>
      </c>
      <c r="G11" s="12">
        <v>203</v>
      </c>
      <c r="H11" s="8">
        <v>21.5</v>
      </c>
      <c r="I11" s="12">
        <v>0</v>
      </c>
    </row>
    <row r="12" spans="2:9" ht="15" customHeight="1" x14ac:dyDescent="0.15">
      <c r="B12" t="s">
        <v>69</v>
      </c>
      <c r="C12" s="12">
        <v>10</v>
      </c>
      <c r="D12" s="8">
        <v>0.5</v>
      </c>
      <c r="E12" s="12">
        <v>1</v>
      </c>
      <c r="F12" s="8">
        <v>0.09</v>
      </c>
      <c r="G12" s="12">
        <v>9</v>
      </c>
      <c r="H12" s="8">
        <v>0.95</v>
      </c>
      <c r="I12" s="12">
        <v>0</v>
      </c>
    </row>
    <row r="13" spans="2:9" ht="15" customHeight="1" x14ac:dyDescent="0.15">
      <c r="B13" t="s">
        <v>70</v>
      </c>
      <c r="C13" s="12">
        <v>343</v>
      </c>
      <c r="D13" s="8">
        <v>17.13</v>
      </c>
      <c r="E13" s="12">
        <v>223</v>
      </c>
      <c r="F13" s="8">
        <v>21.12</v>
      </c>
      <c r="G13" s="12">
        <v>119</v>
      </c>
      <c r="H13" s="8">
        <v>12.61</v>
      </c>
      <c r="I13" s="12">
        <v>1</v>
      </c>
    </row>
    <row r="14" spans="2:9" ht="15" customHeight="1" x14ac:dyDescent="0.15">
      <c r="B14" t="s">
        <v>71</v>
      </c>
      <c r="C14" s="12">
        <v>87</v>
      </c>
      <c r="D14" s="8">
        <v>4.3499999999999996</v>
      </c>
      <c r="E14" s="12">
        <v>41</v>
      </c>
      <c r="F14" s="8">
        <v>3.88</v>
      </c>
      <c r="G14" s="12">
        <v>46</v>
      </c>
      <c r="H14" s="8">
        <v>4.87</v>
      </c>
      <c r="I14" s="12">
        <v>0</v>
      </c>
    </row>
    <row r="15" spans="2:9" ht="15" customHeight="1" x14ac:dyDescent="0.15">
      <c r="B15" t="s">
        <v>72</v>
      </c>
      <c r="C15" s="12">
        <v>235</v>
      </c>
      <c r="D15" s="8">
        <v>11.74</v>
      </c>
      <c r="E15" s="12">
        <v>202</v>
      </c>
      <c r="F15" s="8">
        <v>19.13</v>
      </c>
      <c r="G15" s="12">
        <v>32</v>
      </c>
      <c r="H15" s="8">
        <v>3.39</v>
      </c>
      <c r="I15" s="12">
        <v>1</v>
      </c>
    </row>
    <row r="16" spans="2:9" ht="15" customHeight="1" x14ac:dyDescent="0.15">
      <c r="B16" t="s">
        <v>73</v>
      </c>
      <c r="C16" s="12">
        <v>250</v>
      </c>
      <c r="D16" s="8">
        <v>12.49</v>
      </c>
      <c r="E16" s="12">
        <v>196</v>
      </c>
      <c r="F16" s="8">
        <v>18.559999999999999</v>
      </c>
      <c r="G16" s="12">
        <v>54</v>
      </c>
      <c r="H16" s="8">
        <v>5.72</v>
      </c>
      <c r="I16" s="12">
        <v>0</v>
      </c>
    </row>
    <row r="17" spans="2:9" ht="15" customHeight="1" x14ac:dyDescent="0.15">
      <c r="B17" t="s">
        <v>74</v>
      </c>
      <c r="C17" s="12">
        <v>71</v>
      </c>
      <c r="D17" s="8">
        <v>3.55</v>
      </c>
      <c r="E17" s="12">
        <v>53</v>
      </c>
      <c r="F17" s="8">
        <v>5.0199999999999996</v>
      </c>
      <c r="G17" s="12">
        <v>18</v>
      </c>
      <c r="H17" s="8">
        <v>1.91</v>
      </c>
      <c r="I17" s="12">
        <v>0</v>
      </c>
    </row>
    <row r="18" spans="2:9" ht="15" customHeight="1" x14ac:dyDescent="0.15">
      <c r="B18" t="s">
        <v>75</v>
      </c>
      <c r="C18" s="12">
        <v>85</v>
      </c>
      <c r="D18" s="8">
        <v>4.25</v>
      </c>
      <c r="E18" s="12">
        <v>59</v>
      </c>
      <c r="F18" s="8">
        <v>5.59</v>
      </c>
      <c r="G18" s="12">
        <v>26</v>
      </c>
      <c r="H18" s="8">
        <v>2.75</v>
      </c>
      <c r="I18" s="12">
        <v>0</v>
      </c>
    </row>
    <row r="19" spans="2:9" ht="15" customHeight="1" x14ac:dyDescent="0.15">
      <c r="B19" t="s">
        <v>76</v>
      </c>
      <c r="C19" s="12">
        <v>60</v>
      </c>
      <c r="D19" s="8">
        <v>3</v>
      </c>
      <c r="E19" s="12">
        <v>13</v>
      </c>
      <c r="F19" s="8">
        <v>1.23</v>
      </c>
      <c r="G19" s="12">
        <v>47</v>
      </c>
      <c r="H19" s="8">
        <v>4.9800000000000004</v>
      </c>
      <c r="I19" s="12">
        <v>0</v>
      </c>
    </row>
    <row r="20" spans="2:9" ht="15" customHeight="1" x14ac:dyDescent="0.15">
      <c r="B20" s="9" t="s">
        <v>216</v>
      </c>
      <c r="C20" s="12">
        <f>SUM(LTBL_14216[総数／事業所数])</f>
        <v>2002</v>
      </c>
      <c r="E20" s="12">
        <f>SUBTOTAL(109,LTBL_14216[個人／事業所数])</f>
        <v>1056</v>
      </c>
      <c r="G20" s="12">
        <f>SUBTOTAL(109,LTBL_14216[法人／事業所数])</f>
        <v>944</v>
      </c>
      <c r="I20" s="12">
        <f>SUBTOTAL(109,LTBL_14216[法人以外の団体／事業所数])</f>
        <v>2</v>
      </c>
    </row>
    <row r="21" spans="2:9" ht="15" customHeight="1" x14ac:dyDescent="0.15">
      <c r="E21" s="11">
        <f>LTBL_14216[[#Totals],[個人／事業所数]]/LTBL_14216[[#Totals],[総数／事業所数]]</f>
        <v>0.52747252747252749</v>
      </c>
      <c r="G21" s="11">
        <f>LTBL_14216[[#Totals],[法人／事業所数]]/LTBL_14216[[#Totals],[総数／事業所数]]</f>
        <v>0.47152847152847155</v>
      </c>
      <c r="I21" s="11">
        <f>LTBL_14216[[#Totals],[法人以外の団体／事業所数]]/LTBL_14216[[#Totals],[総数／事業所数]]</f>
        <v>9.99000999000999E-4</v>
      </c>
    </row>
    <row r="23" spans="2:9" ht="33" customHeight="1" x14ac:dyDescent="0.15">
      <c r="B23" t="s">
        <v>215</v>
      </c>
      <c r="C23" s="10" t="s">
        <v>78</v>
      </c>
      <c r="D23" s="10" t="s">
        <v>383</v>
      </c>
      <c r="E23" s="10" t="s">
        <v>80</v>
      </c>
      <c r="F23" s="10" t="s">
        <v>384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6</v>
      </c>
      <c r="D24" t="s">
        <v>217</v>
      </c>
      <c r="E24">
        <v>0</v>
      </c>
      <c r="F24" t="s">
        <v>219</v>
      </c>
      <c r="G24">
        <v>6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305</v>
      </c>
      <c r="D29" s="8">
        <v>15.23</v>
      </c>
      <c r="E29" s="12">
        <v>220</v>
      </c>
      <c r="F29" s="8">
        <v>20.83</v>
      </c>
      <c r="G29" s="12">
        <v>84</v>
      </c>
      <c r="H29" s="8">
        <v>8.9</v>
      </c>
      <c r="I29" s="12">
        <v>1</v>
      </c>
    </row>
    <row r="30" spans="2:9" ht="15" customHeight="1" x14ac:dyDescent="0.15">
      <c r="B30" t="s">
        <v>99</v>
      </c>
      <c r="C30" s="12">
        <v>225</v>
      </c>
      <c r="D30" s="8">
        <v>11.24</v>
      </c>
      <c r="E30" s="12">
        <v>200</v>
      </c>
      <c r="F30" s="8">
        <v>18.940000000000001</v>
      </c>
      <c r="G30" s="12">
        <v>24</v>
      </c>
      <c r="H30" s="8">
        <v>2.54</v>
      </c>
      <c r="I30" s="12">
        <v>1</v>
      </c>
    </row>
    <row r="31" spans="2:9" ht="15" customHeight="1" x14ac:dyDescent="0.15">
      <c r="B31" t="s">
        <v>100</v>
      </c>
      <c r="C31" s="12">
        <v>218</v>
      </c>
      <c r="D31" s="8">
        <v>10.89</v>
      </c>
      <c r="E31" s="12">
        <v>181</v>
      </c>
      <c r="F31" s="8">
        <v>17.14</v>
      </c>
      <c r="G31" s="12">
        <v>37</v>
      </c>
      <c r="H31" s="8">
        <v>3.92</v>
      </c>
      <c r="I31" s="12">
        <v>0</v>
      </c>
    </row>
    <row r="32" spans="2:9" ht="15" customHeight="1" x14ac:dyDescent="0.15">
      <c r="B32" t="s">
        <v>86</v>
      </c>
      <c r="C32" s="12">
        <v>119</v>
      </c>
      <c r="D32" s="8">
        <v>5.94</v>
      </c>
      <c r="E32" s="12">
        <v>35</v>
      </c>
      <c r="F32" s="8">
        <v>3.31</v>
      </c>
      <c r="G32" s="12">
        <v>84</v>
      </c>
      <c r="H32" s="8">
        <v>8.9</v>
      </c>
      <c r="I32" s="12">
        <v>0</v>
      </c>
    </row>
    <row r="33" spans="2:9" ht="15" customHeight="1" x14ac:dyDescent="0.15">
      <c r="B33" t="s">
        <v>85</v>
      </c>
      <c r="C33" s="12">
        <v>118</v>
      </c>
      <c r="D33" s="8">
        <v>5.89</v>
      </c>
      <c r="E33" s="12">
        <v>26</v>
      </c>
      <c r="F33" s="8">
        <v>2.46</v>
      </c>
      <c r="G33" s="12">
        <v>92</v>
      </c>
      <c r="H33" s="8">
        <v>9.75</v>
      </c>
      <c r="I33" s="12">
        <v>0</v>
      </c>
    </row>
    <row r="34" spans="2:9" ht="15" customHeight="1" x14ac:dyDescent="0.15">
      <c r="B34" t="s">
        <v>94</v>
      </c>
      <c r="C34" s="12">
        <v>102</v>
      </c>
      <c r="D34" s="8">
        <v>5.09</v>
      </c>
      <c r="E34" s="12">
        <v>46</v>
      </c>
      <c r="F34" s="8">
        <v>4.3600000000000003</v>
      </c>
      <c r="G34" s="12">
        <v>56</v>
      </c>
      <c r="H34" s="8">
        <v>5.93</v>
      </c>
      <c r="I34" s="12">
        <v>0</v>
      </c>
    </row>
    <row r="35" spans="2:9" ht="15" customHeight="1" x14ac:dyDescent="0.15">
      <c r="B35" t="s">
        <v>92</v>
      </c>
      <c r="C35" s="12">
        <v>91</v>
      </c>
      <c r="D35" s="8">
        <v>4.55</v>
      </c>
      <c r="E35" s="12">
        <v>67</v>
      </c>
      <c r="F35" s="8">
        <v>6.34</v>
      </c>
      <c r="G35" s="12">
        <v>24</v>
      </c>
      <c r="H35" s="8">
        <v>2.54</v>
      </c>
      <c r="I35" s="12">
        <v>0</v>
      </c>
    </row>
    <row r="36" spans="2:9" ht="15" customHeight="1" x14ac:dyDescent="0.15">
      <c r="B36" t="s">
        <v>87</v>
      </c>
      <c r="C36" s="12">
        <v>89</v>
      </c>
      <c r="D36" s="8">
        <v>4.45</v>
      </c>
      <c r="E36" s="12">
        <v>16</v>
      </c>
      <c r="F36" s="8">
        <v>1.52</v>
      </c>
      <c r="G36" s="12">
        <v>73</v>
      </c>
      <c r="H36" s="8">
        <v>7.73</v>
      </c>
      <c r="I36" s="12">
        <v>0</v>
      </c>
    </row>
    <row r="37" spans="2:9" ht="15" customHeight="1" x14ac:dyDescent="0.15">
      <c r="B37" t="s">
        <v>102</v>
      </c>
      <c r="C37" s="12">
        <v>71</v>
      </c>
      <c r="D37" s="8">
        <v>3.55</v>
      </c>
      <c r="E37" s="12">
        <v>53</v>
      </c>
      <c r="F37" s="8">
        <v>5.0199999999999996</v>
      </c>
      <c r="G37" s="12">
        <v>18</v>
      </c>
      <c r="H37" s="8">
        <v>1.91</v>
      </c>
      <c r="I37" s="12">
        <v>0</v>
      </c>
    </row>
    <row r="38" spans="2:9" ht="15" customHeight="1" x14ac:dyDescent="0.15">
      <c r="B38" t="s">
        <v>103</v>
      </c>
      <c r="C38" s="12">
        <v>69</v>
      </c>
      <c r="D38" s="8">
        <v>3.45</v>
      </c>
      <c r="E38" s="12">
        <v>59</v>
      </c>
      <c r="F38" s="8">
        <v>5.59</v>
      </c>
      <c r="G38" s="12">
        <v>10</v>
      </c>
      <c r="H38" s="8">
        <v>1.06</v>
      </c>
      <c r="I38" s="12">
        <v>0</v>
      </c>
    </row>
    <row r="39" spans="2:9" ht="15" customHeight="1" x14ac:dyDescent="0.15">
      <c r="B39" t="s">
        <v>93</v>
      </c>
      <c r="C39" s="12">
        <v>49</v>
      </c>
      <c r="D39" s="8">
        <v>2.4500000000000002</v>
      </c>
      <c r="E39" s="12">
        <v>22</v>
      </c>
      <c r="F39" s="8">
        <v>2.08</v>
      </c>
      <c r="G39" s="12">
        <v>27</v>
      </c>
      <c r="H39" s="8">
        <v>2.86</v>
      </c>
      <c r="I39" s="12">
        <v>0</v>
      </c>
    </row>
    <row r="40" spans="2:9" ht="15" customHeight="1" x14ac:dyDescent="0.15">
      <c r="B40" t="s">
        <v>98</v>
      </c>
      <c r="C40" s="12">
        <v>44</v>
      </c>
      <c r="D40" s="8">
        <v>2.2000000000000002</v>
      </c>
      <c r="E40" s="12">
        <v>15</v>
      </c>
      <c r="F40" s="8">
        <v>1.42</v>
      </c>
      <c r="G40" s="12">
        <v>29</v>
      </c>
      <c r="H40" s="8">
        <v>3.07</v>
      </c>
      <c r="I40" s="12">
        <v>0</v>
      </c>
    </row>
    <row r="41" spans="2:9" ht="15" customHeight="1" x14ac:dyDescent="0.15">
      <c r="B41" t="s">
        <v>97</v>
      </c>
      <c r="C41" s="12">
        <v>40</v>
      </c>
      <c r="D41" s="8">
        <v>2</v>
      </c>
      <c r="E41" s="12">
        <v>25</v>
      </c>
      <c r="F41" s="8">
        <v>2.37</v>
      </c>
      <c r="G41" s="12">
        <v>15</v>
      </c>
      <c r="H41" s="8">
        <v>1.59</v>
      </c>
      <c r="I41" s="12">
        <v>0</v>
      </c>
    </row>
    <row r="42" spans="2:9" ht="15" customHeight="1" x14ac:dyDescent="0.15">
      <c r="B42" t="s">
        <v>95</v>
      </c>
      <c r="C42" s="12">
        <v>35</v>
      </c>
      <c r="D42" s="8">
        <v>1.75</v>
      </c>
      <c r="E42" s="12">
        <v>2</v>
      </c>
      <c r="F42" s="8">
        <v>0.19</v>
      </c>
      <c r="G42" s="12">
        <v>33</v>
      </c>
      <c r="H42" s="8">
        <v>3.5</v>
      </c>
      <c r="I42" s="12">
        <v>0</v>
      </c>
    </row>
    <row r="43" spans="2:9" ht="15" customHeight="1" x14ac:dyDescent="0.15">
      <c r="B43" t="s">
        <v>90</v>
      </c>
      <c r="C43" s="12">
        <v>28</v>
      </c>
      <c r="D43" s="8">
        <v>1.4</v>
      </c>
      <c r="E43" s="12">
        <v>0</v>
      </c>
      <c r="F43" s="8">
        <v>0</v>
      </c>
      <c r="G43" s="12">
        <v>28</v>
      </c>
      <c r="H43" s="8">
        <v>2.97</v>
      </c>
      <c r="I43" s="12">
        <v>0</v>
      </c>
    </row>
    <row r="44" spans="2:9" ht="15" customHeight="1" x14ac:dyDescent="0.15">
      <c r="B44" t="s">
        <v>91</v>
      </c>
      <c r="C44" s="12">
        <v>25</v>
      </c>
      <c r="D44" s="8">
        <v>1.25</v>
      </c>
      <c r="E44" s="12">
        <v>14</v>
      </c>
      <c r="F44" s="8">
        <v>1.33</v>
      </c>
      <c r="G44" s="12">
        <v>11</v>
      </c>
      <c r="H44" s="8">
        <v>1.17</v>
      </c>
      <c r="I44" s="12">
        <v>0</v>
      </c>
    </row>
    <row r="45" spans="2:9" ht="15" customHeight="1" x14ac:dyDescent="0.15">
      <c r="B45" t="s">
        <v>89</v>
      </c>
      <c r="C45" s="12">
        <v>23</v>
      </c>
      <c r="D45" s="8">
        <v>1.1499999999999999</v>
      </c>
      <c r="E45" s="12">
        <v>2</v>
      </c>
      <c r="F45" s="8">
        <v>0.19</v>
      </c>
      <c r="G45" s="12">
        <v>21</v>
      </c>
      <c r="H45" s="8">
        <v>2.2200000000000002</v>
      </c>
      <c r="I45" s="12">
        <v>0</v>
      </c>
    </row>
    <row r="46" spans="2:9" ht="15" customHeight="1" x14ac:dyDescent="0.15">
      <c r="B46" t="s">
        <v>117</v>
      </c>
      <c r="C46" s="12">
        <v>22</v>
      </c>
      <c r="D46" s="8">
        <v>1.1000000000000001</v>
      </c>
      <c r="E46" s="12">
        <v>8</v>
      </c>
      <c r="F46" s="8">
        <v>0.76</v>
      </c>
      <c r="G46" s="12">
        <v>14</v>
      </c>
      <c r="H46" s="8">
        <v>1.48</v>
      </c>
      <c r="I46" s="12">
        <v>0</v>
      </c>
    </row>
    <row r="47" spans="2:9" ht="15" customHeight="1" x14ac:dyDescent="0.15">
      <c r="B47" t="s">
        <v>88</v>
      </c>
      <c r="C47" s="12">
        <v>20</v>
      </c>
      <c r="D47" s="8">
        <v>1</v>
      </c>
      <c r="E47" s="12">
        <v>2</v>
      </c>
      <c r="F47" s="8">
        <v>0.19</v>
      </c>
      <c r="G47" s="12">
        <v>18</v>
      </c>
      <c r="H47" s="8">
        <v>1.91</v>
      </c>
      <c r="I47" s="12">
        <v>0</v>
      </c>
    </row>
    <row r="48" spans="2:9" ht="15" customHeight="1" x14ac:dyDescent="0.15">
      <c r="B48" t="s">
        <v>106</v>
      </c>
      <c r="C48" s="12">
        <v>20</v>
      </c>
      <c r="D48" s="8">
        <v>1</v>
      </c>
      <c r="E48" s="12">
        <v>3</v>
      </c>
      <c r="F48" s="8">
        <v>0.28000000000000003</v>
      </c>
      <c r="G48" s="12">
        <v>17</v>
      </c>
      <c r="H48" s="8">
        <v>1.8</v>
      </c>
      <c r="I48" s="12">
        <v>0</v>
      </c>
    </row>
    <row r="49" spans="2:9" ht="15" customHeight="1" x14ac:dyDescent="0.15">
      <c r="B49" t="s">
        <v>105</v>
      </c>
      <c r="C49" s="12">
        <v>20</v>
      </c>
      <c r="D49" s="8">
        <v>1</v>
      </c>
      <c r="E49" s="12">
        <v>2</v>
      </c>
      <c r="F49" s="8">
        <v>0.19</v>
      </c>
      <c r="G49" s="12">
        <v>18</v>
      </c>
      <c r="H49" s="8">
        <v>1.91</v>
      </c>
      <c r="I49" s="12">
        <v>0</v>
      </c>
    </row>
    <row r="50" spans="2:9" ht="15" customHeight="1" x14ac:dyDescent="0.15">
      <c r="B50" t="s">
        <v>104</v>
      </c>
      <c r="C50" s="12">
        <v>20</v>
      </c>
      <c r="D50" s="8">
        <v>1</v>
      </c>
      <c r="E50" s="12">
        <v>1</v>
      </c>
      <c r="F50" s="8">
        <v>0.09</v>
      </c>
      <c r="G50" s="12">
        <v>19</v>
      </c>
      <c r="H50" s="8">
        <v>2.0099999999999998</v>
      </c>
      <c r="I50" s="12">
        <v>0</v>
      </c>
    </row>
    <row r="53" spans="2:9" ht="33" customHeight="1" x14ac:dyDescent="0.15">
      <c r="B53" t="s">
        <v>232</v>
      </c>
      <c r="C53" s="10" t="s">
        <v>78</v>
      </c>
      <c r="D53" s="10" t="s">
        <v>79</v>
      </c>
      <c r="E53" s="10" t="s">
        <v>80</v>
      </c>
      <c r="F53" s="10" t="s">
        <v>81</v>
      </c>
      <c r="G53" s="10" t="s">
        <v>82</v>
      </c>
      <c r="H53" s="10" t="s">
        <v>83</v>
      </c>
      <c r="I53" s="10" t="s">
        <v>84</v>
      </c>
    </row>
    <row r="54" spans="2:9" ht="15" customHeight="1" x14ac:dyDescent="0.15">
      <c r="B54" t="s">
        <v>148</v>
      </c>
      <c r="C54" s="12">
        <v>187</v>
      </c>
      <c r="D54" s="8">
        <v>9.34</v>
      </c>
      <c r="E54" s="12">
        <v>169</v>
      </c>
      <c r="F54" s="8">
        <v>16</v>
      </c>
      <c r="G54" s="12">
        <v>18</v>
      </c>
      <c r="H54" s="8">
        <v>1.91</v>
      </c>
      <c r="I54" s="12">
        <v>0</v>
      </c>
    </row>
    <row r="55" spans="2:9" ht="15" customHeight="1" x14ac:dyDescent="0.15">
      <c r="B55" t="s">
        <v>155</v>
      </c>
      <c r="C55" s="12">
        <v>101</v>
      </c>
      <c r="D55" s="8">
        <v>5.04</v>
      </c>
      <c r="E55" s="12">
        <v>84</v>
      </c>
      <c r="F55" s="8">
        <v>7.95</v>
      </c>
      <c r="G55" s="12">
        <v>17</v>
      </c>
      <c r="H55" s="8">
        <v>1.8</v>
      </c>
      <c r="I55" s="12">
        <v>0</v>
      </c>
    </row>
    <row r="56" spans="2:9" ht="15" customHeight="1" x14ac:dyDescent="0.15">
      <c r="B56" t="s">
        <v>154</v>
      </c>
      <c r="C56" s="12">
        <v>62</v>
      </c>
      <c r="D56" s="8">
        <v>3.1</v>
      </c>
      <c r="E56" s="12">
        <v>58</v>
      </c>
      <c r="F56" s="8">
        <v>5.49</v>
      </c>
      <c r="G56" s="12">
        <v>4</v>
      </c>
      <c r="H56" s="8">
        <v>0.42</v>
      </c>
      <c r="I56" s="12">
        <v>0</v>
      </c>
    </row>
    <row r="57" spans="2:9" ht="15" customHeight="1" x14ac:dyDescent="0.15">
      <c r="B57" t="s">
        <v>151</v>
      </c>
      <c r="C57" s="12">
        <v>60</v>
      </c>
      <c r="D57" s="8">
        <v>3</v>
      </c>
      <c r="E57" s="12">
        <v>57</v>
      </c>
      <c r="F57" s="8">
        <v>5.4</v>
      </c>
      <c r="G57" s="12">
        <v>3</v>
      </c>
      <c r="H57" s="8">
        <v>0.32</v>
      </c>
      <c r="I57" s="12">
        <v>0</v>
      </c>
    </row>
    <row r="58" spans="2:9" ht="15" customHeight="1" x14ac:dyDescent="0.15">
      <c r="B58" t="s">
        <v>150</v>
      </c>
      <c r="C58" s="12">
        <v>56</v>
      </c>
      <c r="D58" s="8">
        <v>2.8</v>
      </c>
      <c r="E58" s="12">
        <v>50</v>
      </c>
      <c r="F58" s="8">
        <v>4.7300000000000004</v>
      </c>
      <c r="G58" s="12">
        <v>6</v>
      </c>
      <c r="H58" s="8">
        <v>0.64</v>
      </c>
      <c r="I58" s="12">
        <v>0</v>
      </c>
    </row>
    <row r="59" spans="2:9" ht="15" customHeight="1" x14ac:dyDescent="0.15">
      <c r="B59" t="s">
        <v>149</v>
      </c>
      <c r="C59" s="12">
        <v>55</v>
      </c>
      <c r="D59" s="8">
        <v>2.75</v>
      </c>
      <c r="E59" s="12">
        <v>6</v>
      </c>
      <c r="F59" s="8">
        <v>0.56999999999999995</v>
      </c>
      <c r="G59" s="12">
        <v>48</v>
      </c>
      <c r="H59" s="8">
        <v>5.08</v>
      </c>
      <c r="I59" s="12">
        <v>1</v>
      </c>
    </row>
    <row r="60" spans="2:9" ht="15" customHeight="1" x14ac:dyDescent="0.15">
      <c r="B60" t="s">
        <v>152</v>
      </c>
      <c r="C60" s="12">
        <v>55</v>
      </c>
      <c r="D60" s="8">
        <v>2.75</v>
      </c>
      <c r="E60" s="12">
        <v>54</v>
      </c>
      <c r="F60" s="8">
        <v>5.1100000000000003</v>
      </c>
      <c r="G60" s="12">
        <v>1</v>
      </c>
      <c r="H60" s="8">
        <v>0.11</v>
      </c>
      <c r="I60" s="12">
        <v>0</v>
      </c>
    </row>
    <row r="61" spans="2:9" ht="15" customHeight="1" x14ac:dyDescent="0.15">
      <c r="B61" t="s">
        <v>156</v>
      </c>
      <c r="C61" s="12">
        <v>52</v>
      </c>
      <c r="D61" s="8">
        <v>2.6</v>
      </c>
      <c r="E61" s="12">
        <v>41</v>
      </c>
      <c r="F61" s="8">
        <v>3.88</v>
      </c>
      <c r="G61" s="12">
        <v>11</v>
      </c>
      <c r="H61" s="8">
        <v>1.17</v>
      </c>
      <c r="I61" s="12">
        <v>0</v>
      </c>
    </row>
    <row r="62" spans="2:9" ht="15" customHeight="1" x14ac:dyDescent="0.15">
      <c r="B62" t="s">
        <v>157</v>
      </c>
      <c r="C62" s="12">
        <v>46</v>
      </c>
      <c r="D62" s="8">
        <v>2.2999999999999998</v>
      </c>
      <c r="E62" s="12">
        <v>39</v>
      </c>
      <c r="F62" s="8">
        <v>3.69</v>
      </c>
      <c r="G62" s="12">
        <v>7</v>
      </c>
      <c r="H62" s="8">
        <v>0.74</v>
      </c>
      <c r="I62" s="12">
        <v>0</v>
      </c>
    </row>
    <row r="63" spans="2:9" ht="15" customHeight="1" x14ac:dyDescent="0.15">
      <c r="B63" t="s">
        <v>140</v>
      </c>
      <c r="C63" s="12">
        <v>43</v>
      </c>
      <c r="D63" s="8">
        <v>2.15</v>
      </c>
      <c r="E63" s="12">
        <v>11</v>
      </c>
      <c r="F63" s="8">
        <v>1.04</v>
      </c>
      <c r="G63" s="12">
        <v>32</v>
      </c>
      <c r="H63" s="8">
        <v>3.39</v>
      </c>
      <c r="I63" s="12">
        <v>0</v>
      </c>
    </row>
    <row r="64" spans="2:9" ht="15" customHeight="1" x14ac:dyDescent="0.15">
      <c r="B64" t="s">
        <v>153</v>
      </c>
      <c r="C64" s="12">
        <v>38</v>
      </c>
      <c r="D64" s="8">
        <v>1.9</v>
      </c>
      <c r="E64" s="12">
        <v>25</v>
      </c>
      <c r="F64" s="8">
        <v>2.37</v>
      </c>
      <c r="G64" s="12">
        <v>13</v>
      </c>
      <c r="H64" s="8">
        <v>1.38</v>
      </c>
      <c r="I64" s="12">
        <v>0</v>
      </c>
    </row>
    <row r="65" spans="2:9" ht="15" customHeight="1" x14ac:dyDescent="0.15">
      <c r="B65" t="s">
        <v>143</v>
      </c>
      <c r="C65" s="12">
        <v>35</v>
      </c>
      <c r="D65" s="8">
        <v>1.75</v>
      </c>
      <c r="E65" s="12">
        <v>24</v>
      </c>
      <c r="F65" s="8">
        <v>2.27</v>
      </c>
      <c r="G65" s="12">
        <v>11</v>
      </c>
      <c r="H65" s="8">
        <v>1.17</v>
      </c>
      <c r="I65" s="12">
        <v>0</v>
      </c>
    </row>
    <row r="66" spans="2:9" ht="15" customHeight="1" x14ac:dyDescent="0.15">
      <c r="B66" t="s">
        <v>141</v>
      </c>
      <c r="C66" s="12">
        <v>33</v>
      </c>
      <c r="D66" s="8">
        <v>1.65</v>
      </c>
      <c r="E66" s="12">
        <v>4</v>
      </c>
      <c r="F66" s="8">
        <v>0.38</v>
      </c>
      <c r="G66" s="12">
        <v>29</v>
      </c>
      <c r="H66" s="8">
        <v>3.07</v>
      </c>
      <c r="I66" s="12">
        <v>0</v>
      </c>
    </row>
    <row r="67" spans="2:9" ht="15" customHeight="1" x14ac:dyDescent="0.15">
      <c r="B67" t="s">
        <v>173</v>
      </c>
      <c r="C67" s="12">
        <v>33</v>
      </c>
      <c r="D67" s="8">
        <v>1.65</v>
      </c>
      <c r="E67" s="12">
        <v>28</v>
      </c>
      <c r="F67" s="8">
        <v>2.65</v>
      </c>
      <c r="G67" s="12">
        <v>5</v>
      </c>
      <c r="H67" s="8">
        <v>0.53</v>
      </c>
      <c r="I67" s="12">
        <v>0</v>
      </c>
    </row>
    <row r="68" spans="2:9" ht="15" customHeight="1" x14ac:dyDescent="0.15">
      <c r="B68" t="s">
        <v>139</v>
      </c>
      <c r="C68" s="12">
        <v>30</v>
      </c>
      <c r="D68" s="8">
        <v>1.5</v>
      </c>
      <c r="E68" s="12">
        <v>6</v>
      </c>
      <c r="F68" s="8">
        <v>0.56999999999999995</v>
      </c>
      <c r="G68" s="12">
        <v>24</v>
      </c>
      <c r="H68" s="8">
        <v>2.54</v>
      </c>
      <c r="I68" s="12">
        <v>0</v>
      </c>
    </row>
    <row r="69" spans="2:9" ht="15" customHeight="1" x14ac:dyDescent="0.15">
      <c r="B69" t="s">
        <v>147</v>
      </c>
      <c r="C69" s="12">
        <v>30</v>
      </c>
      <c r="D69" s="8">
        <v>1.5</v>
      </c>
      <c r="E69" s="12">
        <v>17</v>
      </c>
      <c r="F69" s="8">
        <v>1.61</v>
      </c>
      <c r="G69" s="12">
        <v>13</v>
      </c>
      <c r="H69" s="8">
        <v>1.38</v>
      </c>
      <c r="I69" s="12">
        <v>0</v>
      </c>
    </row>
    <row r="70" spans="2:9" ht="15" customHeight="1" x14ac:dyDescent="0.15">
      <c r="B70" t="s">
        <v>174</v>
      </c>
      <c r="C70" s="12">
        <v>29</v>
      </c>
      <c r="D70" s="8">
        <v>1.45</v>
      </c>
      <c r="E70" s="12">
        <v>12</v>
      </c>
      <c r="F70" s="8">
        <v>1.1399999999999999</v>
      </c>
      <c r="G70" s="12">
        <v>17</v>
      </c>
      <c r="H70" s="8">
        <v>1.8</v>
      </c>
      <c r="I70" s="12">
        <v>0</v>
      </c>
    </row>
    <row r="71" spans="2:9" ht="15" customHeight="1" x14ac:dyDescent="0.15">
      <c r="B71" t="s">
        <v>144</v>
      </c>
      <c r="C71" s="12">
        <v>29</v>
      </c>
      <c r="D71" s="8">
        <v>1.45</v>
      </c>
      <c r="E71" s="12">
        <v>13</v>
      </c>
      <c r="F71" s="8">
        <v>1.23</v>
      </c>
      <c r="G71" s="12">
        <v>16</v>
      </c>
      <c r="H71" s="8">
        <v>1.69</v>
      </c>
      <c r="I71" s="12">
        <v>0</v>
      </c>
    </row>
    <row r="72" spans="2:9" ht="15" customHeight="1" x14ac:dyDescent="0.15">
      <c r="B72" t="s">
        <v>145</v>
      </c>
      <c r="C72" s="12">
        <v>28</v>
      </c>
      <c r="D72" s="8">
        <v>1.4</v>
      </c>
      <c r="E72" s="12">
        <v>19</v>
      </c>
      <c r="F72" s="8">
        <v>1.8</v>
      </c>
      <c r="G72" s="12">
        <v>9</v>
      </c>
      <c r="H72" s="8">
        <v>0.95</v>
      </c>
      <c r="I72" s="12">
        <v>0</v>
      </c>
    </row>
    <row r="73" spans="2:9" ht="15" customHeight="1" x14ac:dyDescent="0.15">
      <c r="B73" t="s">
        <v>158</v>
      </c>
      <c r="C73" s="12">
        <v>27</v>
      </c>
      <c r="D73" s="8">
        <v>1.35</v>
      </c>
      <c r="E73" s="12">
        <v>4</v>
      </c>
      <c r="F73" s="8">
        <v>0.38</v>
      </c>
      <c r="G73" s="12">
        <v>23</v>
      </c>
      <c r="H73" s="8">
        <v>2.44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385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202</v>
      </c>
      <c r="D6" s="8">
        <v>21.42</v>
      </c>
      <c r="E6" s="12">
        <v>63</v>
      </c>
      <c r="F6" s="8">
        <v>10.73</v>
      </c>
      <c r="G6" s="12">
        <v>139</v>
      </c>
      <c r="H6" s="8">
        <v>39.15</v>
      </c>
      <c r="I6" s="12">
        <v>0</v>
      </c>
    </row>
    <row r="7" spans="2:9" ht="15" customHeight="1" x14ac:dyDescent="0.15">
      <c r="B7" t="s">
        <v>64</v>
      </c>
      <c r="C7" s="12">
        <v>66</v>
      </c>
      <c r="D7" s="8">
        <v>7</v>
      </c>
      <c r="E7" s="12">
        <v>27</v>
      </c>
      <c r="F7" s="8">
        <v>4.5999999999999996</v>
      </c>
      <c r="G7" s="12">
        <v>39</v>
      </c>
      <c r="H7" s="8">
        <v>10.99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</v>
      </c>
      <c r="D9" s="8">
        <v>0.32</v>
      </c>
      <c r="E9" s="12">
        <v>0</v>
      </c>
      <c r="F9" s="8">
        <v>0</v>
      </c>
      <c r="G9" s="12">
        <v>3</v>
      </c>
      <c r="H9" s="8">
        <v>0.85</v>
      </c>
      <c r="I9" s="12">
        <v>0</v>
      </c>
    </row>
    <row r="10" spans="2:9" ht="15" customHeight="1" x14ac:dyDescent="0.15">
      <c r="B10" t="s">
        <v>67</v>
      </c>
      <c r="C10" s="12">
        <v>2</v>
      </c>
      <c r="D10" s="8">
        <v>0.21</v>
      </c>
      <c r="E10" s="12">
        <v>2</v>
      </c>
      <c r="F10" s="8">
        <v>0.34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68</v>
      </c>
      <c r="C11" s="12">
        <v>152</v>
      </c>
      <c r="D11" s="8">
        <v>16.12</v>
      </c>
      <c r="E11" s="12">
        <v>70</v>
      </c>
      <c r="F11" s="8">
        <v>11.93</v>
      </c>
      <c r="G11" s="12">
        <v>82</v>
      </c>
      <c r="H11" s="8">
        <v>23.1</v>
      </c>
      <c r="I11" s="12">
        <v>0</v>
      </c>
    </row>
    <row r="12" spans="2:9" ht="15" customHeight="1" x14ac:dyDescent="0.15">
      <c r="B12" t="s">
        <v>69</v>
      </c>
      <c r="C12" s="12">
        <v>4</v>
      </c>
      <c r="D12" s="8">
        <v>0.42</v>
      </c>
      <c r="E12" s="12">
        <v>1</v>
      </c>
      <c r="F12" s="8">
        <v>0.17</v>
      </c>
      <c r="G12" s="12">
        <v>3</v>
      </c>
      <c r="H12" s="8">
        <v>0.85</v>
      </c>
      <c r="I12" s="12">
        <v>0</v>
      </c>
    </row>
    <row r="13" spans="2:9" ht="15" customHeight="1" x14ac:dyDescent="0.15">
      <c r="B13" t="s">
        <v>70</v>
      </c>
      <c r="C13" s="12">
        <v>209</v>
      </c>
      <c r="D13" s="8">
        <v>22.16</v>
      </c>
      <c r="E13" s="12">
        <v>184</v>
      </c>
      <c r="F13" s="8">
        <v>31.35</v>
      </c>
      <c r="G13" s="12">
        <v>25</v>
      </c>
      <c r="H13" s="8">
        <v>7.04</v>
      </c>
      <c r="I13" s="12">
        <v>0</v>
      </c>
    </row>
    <row r="14" spans="2:9" ht="15" customHeight="1" x14ac:dyDescent="0.15">
      <c r="B14" t="s">
        <v>71</v>
      </c>
      <c r="C14" s="12">
        <v>28</v>
      </c>
      <c r="D14" s="8">
        <v>2.97</v>
      </c>
      <c r="E14" s="12">
        <v>14</v>
      </c>
      <c r="F14" s="8">
        <v>2.39</v>
      </c>
      <c r="G14" s="12">
        <v>14</v>
      </c>
      <c r="H14" s="8">
        <v>3.94</v>
      </c>
      <c r="I14" s="12">
        <v>0</v>
      </c>
    </row>
    <row r="15" spans="2:9" ht="15" customHeight="1" x14ac:dyDescent="0.15">
      <c r="B15" t="s">
        <v>72</v>
      </c>
      <c r="C15" s="12">
        <v>86</v>
      </c>
      <c r="D15" s="8">
        <v>9.1199999999999992</v>
      </c>
      <c r="E15" s="12">
        <v>78</v>
      </c>
      <c r="F15" s="8">
        <v>13.29</v>
      </c>
      <c r="G15" s="12">
        <v>8</v>
      </c>
      <c r="H15" s="8">
        <v>2.25</v>
      </c>
      <c r="I15" s="12">
        <v>0</v>
      </c>
    </row>
    <row r="16" spans="2:9" ht="15" customHeight="1" x14ac:dyDescent="0.15">
      <c r="B16" t="s">
        <v>73</v>
      </c>
      <c r="C16" s="12">
        <v>106</v>
      </c>
      <c r="D16" s="8">
        <v>11.24</v>
      </c>
      <c r="E16" s="12">
        <v>95</v>
      </c>
      <c r="F16" s="8">
        <v>16.18</v>
      </c>
      <c r="G16" s="12">
        <v>11</v>
      </c>
      <c r="H16" s="8">
        <v>3.1</v>
      </c>
      <c r="I16" s="12">
        <v>0</v>
      </c>
    </row>
    <row r="17" spans="2:9" ht="15" customHeight="1" x14ac:dyDescent="0.15">
      <c r="B17" t="s">
        <v>74</v>
      </c>
      <c r="C17" s="12">
        <v>36</v>
      </c>
      <c r="D17" s="8">
        <v>3.82</v>
      </c>
      <c r="E17" s="12">
        <v>24</v>
      </c>
      <c r="F17" s="8">
        <v>4.09</v>
      </c>
      <c r="G17" s="12">
        <v>12</v>
      </c>
      <c r="H17" s="8">
        <v>3.38</v>
      </c>
      <c r="I17" s="12">
        <v>0</v>
      </c>
    </row>
    <row r="18" spans="2:9" ht="15" customHeight="1" x14ac:dyDescent="0.15">
      <c r="B18" t="s">
        <v>75</v>
      </c>
      <c r="C18" s="12">
        <v>34</v>
      </c>
      <c r="D18" s="8">
        <v>3.61</v>
      </c>
      <c r="E18" s="12">
        <v>24</v>
      </c>
      <c r="F18" s="8">
        <v>4.09</v>
      </c>
      <c r="G18" s="12">
        <v>9</v>
      </c>
      <c r="H18" s="8">
        <v>2.54</v>
      </c>
      <c r="I18" s="12">
        <v>1</v>
      </c>
    </row>
    <row r="19" spans="2:9" ht="15" customHeight="1" x14ac:dyDescent="0.15">
      <c r="B19" t="s">
        <v>76</v>
      </c>
      <c r="C19" s="12">
        <v>15</v>
      </c>
      <c r="D19" s="8">
        <v>1.59</v>
      </c>
      <c r="E19" s="12">
        <v>5</v>
      </c>
      <c r="F19" s="8">
        <v>0.85</v>
      </c>
      <c r="G19" s="12">
        <v>10</v>
      </c>
      <c r="H19" s="8">
        <v>2.82</v>
      </c>
      <c r="I19" s="12">
        <v>0</v>
      </c>
    </row>
    <row r="20" spans="2:9" ht="15" customHeight="1" x14ac:dyDescent="0.15">
      <c r="B20" s="9" t="s">
        <v>216</v>
      </c>
      <c r="C20" s="12">
        <f>SUM(LTBL_14217[総数／事業所数])</f>
        <v>943</v>
      </c>
      <c r="E20" s="12">
        <f>SUBTOTAL(109,LTBL_14217[個人／事業所数])</f>
        <v>587</v>
      </c>
      <c r="G20" s="12">
        <f>SUBTOTAL(109,LTBL_14217[法人／事業所数])</f>
        <v>355</v>
      </c>
      <c r="I20" s="12">
        <f>SUBTOTAL(109,LTBL_14217[法人以外の団体／事業所数])</f>
        <v>1</v>
      </c>
    </row>
    <row r="21" spans="2:9" ht="15" customHeight="1" x14ac:dyDescent="0.15">
      <c r="E21" s="11">
        <f>LTBL_14217[[#Totals],[個人／事業所数]]/LTBL_14217[[#Totals],[総数／事業所数]]</f>
        <v>0.62248144220572643</v>
      </c>
      <c r="G21" s="11">
        <f>LTBL_14217[[#Totals],[法人／事業所数]]/LTBL_14217[[#Totals],[総数／事業所数]]</f>
        <v>0.37645811240721105</v>
      </c>
      <c r="I21" s="11">
        <f>LTBL_14217[[#Totals],[法人以外の団体／事業所数]]/LTBL_14217[[#Totals],[総数／事業所数]]</f>
        <v>1.0604453870625664E-3</v>
      </c>
    </row>
    <row r="23" spans="2:9" ht="33" customHeight="1" x14ac:dyDescent="0.15">
      <c r="B23" t="s">
        <v>215</v>
      </c>
      <c r="C23" s="10" t="s">
        <v>78</v>
      </c>
      <c r="D23" s="10" t="s">
        <v>386</v>
      </c>
      <c r="E23" s="10" t="s">
        <v>80</v>
      </c>
      <c r="F23" s="10" t="s">
        <v>387</v>
      </c>
      <c r="G23" s="10" t="s">
        <v>82</v>
      </c>
      <c r="H23" s="10" t="s">
        <v>388</v>
      </c>
      <c r="I23" s="10" t="s">
        <v>84</v>
      </c>
    </row>
    <row r="24" spans="2:9" ht="15" customHeight="1" x14ac:dyDescent="0.15">
      <c r="B24" t="s">
        <v>218</v>
      </c>
      <c r="C24">
        <v>9</v>
      </c>
      <c r="D24" t="s">
        <v>217</v>
      </c>
      <c r="E24">
        <v>0</v>
      </c>
      <c r="F24" t="s">
        <v>219</v>
      </c>
      <c r="G24">
        <v>9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1</v>
      </c>
      <c r="D25" t="s">
        <v>217</v>
      </c>
      <c r="E25">
        <v>0</v>
      </c>
      <c r="F25" t="s">
        <v>219</v>
      </c>
      <c r="G25">
        <v>1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204</v>
      </c>
      <c r="D29" s="8">
        <v>21.63</v>
      </c>
      <c r="E29" s="12">
        <v>184</v>
      </c>
      <c r="F29" s="8">
        <v>31.35</v>
      </c>
      <c r="G29" s="12">
        <v>20</v>
      </c>
      <c r="H29" s="8">
        <v>5.63</v>
      </c>
      <c r="I29" s="12">
        <v>0</v>
      </c>
    </row>
    <row r="30" spans="2:9" ht="15" customHeight="1" x14ac:dyDescent="0.15">
      <c r="B30" t="s">
        <v>100</v>
      </c>
      <c r="C30" s="12">
        <v>96</v>
      </c>
      <c r="D30" s="8">
        <v>10.18</v>
      </c>
      <c r="E30" s="12">
        <v>92</v>
      </c>
      <c r="F30" s="8">
        <v>15.67</v>
      </c>
      <c r="G30" s="12">
        <v>4</v>
      </c>
      <c r="H30" s="8">
        <v>1.1299999999999999</v>
      </c>
      <c r="I30" s="12">
        <v>0</v>
      </c>
    </row>
    <row r="31" spans="2:9" ht="15" customHeight="1" x14ac:dyDescent="0.15">
      <c r="B31" t="s">
        <v>85</v>
      </c>
      <c r="C31" s="12">
        <v>93</v>
      </c>
      <c r="D31" s="8">
        <v>9.86</v>
      </c>
      <c r="E31" s="12">
        <v>25</v>
      </c>
      <c r="F31" s="8">
        <v>4.26</v>
      </c>
      <c r="G31" s="12">
        <v>68</v>
      </c>
      <c r="H31" s="8">
        <v>19.149999999999999</v>
      </c>
      <c r="I31" s="12">
        <v>0</v>
      </c>
    </row>
    <row r="32" spans="2:9" ht="15" customHeight="1" x14ac:dyDescent="0.15">
      <c r="B32" t="s">
        <v>99</v>
      </c>
      <c r="C32" s="12">
        <v>80</v>
      </c>
      <c r="D32" s="8">
        <v>8.48</v>
      </c>
      <c r="E32" s="12">
        <v>76</v>
      </c>
      <c r="F32" s="8">
        <v>12.95</v>
      </c>
      <c r="G32" s="12">
        <v>4</v>
      </c>
      <c r="H32" s="8">
        <v>1.1299999999999999</v>
      </c>
      <c r="I32" s="12">
        <v>0</v>
      </c>
    </row>
    <row r="33" spans="2:9" ht="15" customHeight="1" x14ac:dyDescent="0.15">
      <c r="B33" t="s">
        <v>86</v>
      </c>
      <c r="C33" s="12">
        <v>57</v>
      </c>
      <c r="D33" s="8">
        <v>6.04</v>
      </c>
      <c r="E33" s="12">
        <v>26</v>
      </c>
      <c r="F33" s="8">
        <v>4.43</v>
      </c>
      <c r="G33" s="12">
        <v>31</v>
      </c>
      <c r="H33" s="8">
        <v>8.73</v>
      </c>
      <c r="I33" s="12">
        <v>0</v>
      </c>
    </row>
    <row r="34" spans="2:9" ht="15" customHeight="1" x14ac:dyDescent="0.15">
      <c r="B34" t="s">
        <v>92</v>
      </c>
      <c r="C34" s="12">
        <v>53</v>
      </c>
      <c r="D34" s="8">
        <v>5.62</v>
      </c>
      <c r="E34" s="12">
        <v>28</v>
      </c>
      <c r="F34" s="8">
        <v>4.7699999999999996</v>
      </c>
      <c r="G34" s="12">
        <v>25</v>
      </c>
      <c r="H34" s="8">
        <v>7.04</v>
      </c>
      <c r="I34" s="12">
        <v>0</v>
      </c>
    </row>
    <row r="35" spans="2:9" ht="15" customHeight="1" x14ac:dyDescent="0.15">
      <c r="B35" t="s">
        <v>87</v>
      </c>
      <c r="C35" s="12">
        <v>52</v>
      </c>
      <c r="D35" s="8">
        <v>5.51</v>
      </c>
      <c r="E35" s="12">
        <v>12</v>
      </c>
      <c r="F35" s="8">
        <v>2.04</v>
      </c>
      <c r="G35" s="12">
        <v>40</v>
      </c>
      <c r="H35" s="8">
        <v>11.27</v>
      </c>
      <c r="I35" s="12">
        <v>0</v>
      </c>
    </row>
    <row r="36" spans="2:9" ht="15" customHeight="1" x14ac:dyDescent="0.15">
      <c r="B36" t="s">
        <v>102</v>
      </c>
      <c r="C36" s="12">
        <v>36</v>
      </c>
      <c r="D36" s="8">
        <v>3.82</v>
      </c>
      <c r="E36" s="12">
        <v>24</v>
      </c>
      <c r="F36" s="8">
        <v>4.09</v>
      </c>
      <c r="G36" s="12">
        <v>12</v>
      </c>
      <c r="H36" s="8">
        <v>3.38</v>
      </c>
      <c r="I36" s="12">
        <v>0</v>
      </c>
    </row>
    <row r="37" spans="2:9" ht="15" customHeight="1" x14ac:dyDescent="0.15">
      <c r="B37" t="s">
        <v>94</v>
      </c>
      <c r="C37" s="12">
        <v>35</v>
      </c>
      <c r="D37" s="8">
        <v>3.71</v>
      </c>
      <c r="E37" s="12">
        <v>19</v>
      </c>
      <c r="F37" s="8">
        <v>3.24</v>
      </c>
      <c r="G37" s="12">
        <v>16</v>
      </c>
      <c r="H37" s="8">
        <v>4.51</v>
      </c>
      <c r="I37" s="12">
        <v>0</v>
      </c>
    </row>
    <row r="38" spans="2:9" ht="15" customHeight="1" x14ac:dyDescent="0.15">
      <c r="B38" t="s">
        <v>103</v>
      </c>
      <c r="C38" s="12">
        <v>26</v>
      </c>
      <c r="D38" s="8">
        <v>2.76</v>
      </c>
      <c r="E38" s="12">
        <v>23</v>
      </c>
      <c r="F38" s="8">
        <v>3.92</v>
      </c>
      <c r="G38" s="12">
        <v>3</v>
      </c>
      <c r="H38" s="8">
        <v>0.85</v>
      </c>
      <c r="I38" s="12">
        <v>0</v>
      </c>
    </row>
    <row r="39" spans="2:9" ht="15" customHeight="1" x14ac:dyDescent="0.15">
      <c r="B39" t="s">
        <v>93</v>
      </c>
      <c r="C39" s="12">
        <v>21</v>
      </c>
      <c r="D39" s="8">
        <v>2.23</v>
      </c>
      <c r="E39" s="12">
        <v>8</v>
      </c>
      <c r="F39" s="8">
        <v>1.36</v>
      </c>
      <c r="G39" s="12">
        <v>13</v>
      </c>
      <c r="H39" s="8">
        <v>3.66</v>
      </c>
      <c r="I39" s="12">
        <v>0</v>
      </c>
    </row>
    <row r="40" spans="2:9" ht="15" customHeight="1" x14ac:dyDescent="0.15">
      <c r="B40" t="s">
        <v>91</v>
      </c>
      <c r="C40" s="12">
        <v>14</v>
      </c>
      <c r="D40" s="8">
        <v>1.48</v>
      </c>
      <c r="E40" s="12">
        <v>10</v>
      </c>
      <c r="F40" s="8">
        <v>1.7</v>
      </c>
      <c r="G40" s="12">
        <v>4</v>
      </c>
      <c r="H40" s="8">
        <v>1.1299999999999999</v>
      </c>
      <c r="I40" s="12">
        <v>0</v>
      </c>
    </row>
    <row r="41" spans="2:9" ht="15" customHeight="1" x14ac:dyDescent="0.15">
      <c r="B41" t="s">
        <v>97</v>
      </c>
      <c r="C41" s="12">
        <v>14</v>
      </c>
      <c r="D41" s="8">
        <v>1.48</v>
      </c>
      <c r="E41" s="12">
        <v>9</v>
      </c>
      <c r="F41" s="8">
        <v>1.53</v>
      </c>
      <c r="G41" s="12">
        <v>5</v>
      </c>
      <c r="H41" s="8">
        <v>1.41</v>
      </c>
      <c r="I41" s="12">
        <v>0</v>
      </c>
    </row>
    <row r="42" spans="2:9" ht="15" customHeight="1" x14ac:dyDescent="0.15">
      <c r="B42" t="s">
        <v>98</v>
      </c>
      <c r="C42" s="12">
        <v>14</v>
      </c>
      <c r="D42" s="8">
        <v>1.48</v>
      </c>
      <c r="E42" s="12">
        <v>5</v>
      </c>
      <c r="F42" s="8">
        <v>0.85</v>
      </c>
      <c r="G42" s="12">
        <v>9</v>
      </c>
      <c r="H42" s="8">
        <v>2.54</v>
      </c>
      <c r="I42" s="12">
        <v>0</v>
      </c>
    </row>
    <row r="43" spans="2:9" ht="15" customHeight="1" x14ac:dyDescent="0.15">
      <c r="B43" t="s">
        <v>88</v>
      </c>
      <c r="C43" s="12">
        <v>8</v>
      </c>
      <c r="D43" s="8">
        <v>0.85</v>
      </c>
      <c r="E43" s="12">
        <v>3</v>
      </c>
      <c r="F43" s="8">
        <v>0.51</v>
      </c>
      <c r="G43" s="12">
        <v>5</v>
      </c>
      <c r="H43" s="8">
        <v>1.41</v>
      </c>
      <c r="I43" s="12">
        <v>0</v>
      </c>
    </row>
    <row r="44" spans="2:9" ht="15" customHeight="1" x14ac:dyDescent="0.15">
      <c r="B44" t="s">
        <v>106</v>
      </c>
      <c r="C44" s="12">
        <v>8</v>
      </c>
      <c r="D44" s="8">
        <v>0.85</v>
      </c>
      <c r="E44" s="12">
        <v>2</v>
      </c>
      <c r="F44" s="8">
        <v>0.34</v>
      </c>
      <c r="G44" s="12">
        <v>6</v>
      </c>
      <c r="H44" s="8">
        <v>1.69</v>
      </c>
      <c r="I44" s="12">
        <v>0</v>
      </c>
    </row>
    <row r="45" spans="2:9" ht="15" customHeight="1" x14ac:dyDescent="0.15">
      <c r="B45" t="s">
        <v>105</v>
      </c>
      <c r="C45" s="12">
        <v>8</v>
      </c>
      <c r="D45" s="8">
        <v>0.85</v>
      </c>
      <c r="E45" s="12">
        <v>0</v>
      </c>
      <c r="F45" s="8">
        <v>0</v>
      </c>
      <c r="G45" s="12">
        <v>8</v>
      </c>
      <c r="H45" s="8">
        <v>2.25</v>
      </c>
      <c r="I45" s="12">
        <v>0</v>
      </c>
    </row>
    <row r="46" spans="2:9" ht="15" customHeight="1" x14ac:dyDescent="0.15">
      <c r="B46" t="s">
        <v>108</v>
      </c>
      <c r="C46" s="12">
        <v>8</v>
      </c>
      <c r="D46" s="8">
        <v>0.85</v>
      </c>
      <c r="E46" s="12">
        <v>1</v>
      </c>
      <c r="F46" s="8">
        <v>0.17</v>
      </c>
      <c r="G46" s="12">
        <v>6</v>
      </c>
      <c r="H46" s="8">
        <v>1.69</v>
      </c>
      <c r="I46" s="12">
        <v>1</v>
      </c>
    </row>
    <row r="47" spans="2:9" ht="15" customHeight="1" x14ac:dyDescent="0.15">
      <c r="B47" t="s">
        <v>122</v>
      </c>
      <c r="C47" s="12">
        <v>7</v>
      </c>
      <c r="D47" s="8">
        <v>0.74</v>
      </c>
      <c r="E47" s="12">
        <v>3</v>
      </c>
      <c r="F47" s="8">
        <v>0.51</v>
      </c>
      <c r="G47" s="12">
        <v>4</v>
      </c>
      <c r="H47" s="8">
        <v>1.1299999999999999</v>
      </c>
      <c r="I47" s="12">
        <v>0</v>
      </c>
    </row>
    <row r="48" spans="2:9" ht="15" customHeight="1" x14ac:dyDescent="0.15">
      <c r="B48" t="s">
        <v>101</v>
      </c>
      <c r="C48" s="12">
        <v>6</v>
      </c>
      <c r="D48" s="8">
        <v>0.64</v>
      </c>
      <c r="E48" s="12">
        <v>2</v>
      </c>
      <c r="F48" s="8">
        <v>0.34</v>
      </c>
      <c r="G48" s="12">
        <v>4</v>
      </c>
      <c r="H48" s="8">
        <v>1.1299999999999999</v>
      </c>
      <c r="I48" s="12">
        <v>0</v>
      </c>
    </row>
    <row r="49" spans="2:9" ht="15" customHeight="1" x14ac:dyDescent="0.15">
      <c r="B49" t="s">
        <v>117</v>
      </c>
      <c r="C49" s="12">
        <v>6</v>
      </c>
      <c r="D49" s="8">
        <v>0.64</v>
      </c>
      <c r="E49" s="12">
        <v>4</v>
      </c>
      <c r="F49" s="8">
        <v>0.68</v>
      </c>
      <c r="G49" s="12">
        <v>2</v>
      </c>
      <c r="H49" s="8">
        <v>0.56000000000000005</v>
      </c>
      <c r="I49" s="12">
        <v>0</v>
      </c>
    </row>
    <row r="52" spans="2:9" ht="33" customHeight="1" x14ac:dyDescent="0.15">
      <c r="B52" t="s">
        <v>255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134</v>
      </c>
      <c r="D53" s="8">
        <v>14.21</v>
      </c>
      <c r="E53" s="12">
        <v>123</v>
      </c>
      <c r="F53" s="8">
        <v>20.95</v>
      </c>
      <c r="G53" s="12">
        <v>11</v>
      </c>
      <c r="H53" s="8">
        <v>3.1</v>
      </c>
      <c r="I53" s="12">
        <v>0</v>
      </c>
    </row>
    <row r="54" spans="2:9" ht="15" customHeight="1" x14ac:dyDescent="0.15">
      <c r="B54" t="s">
        <v>155</v>
      </c>
      <c r="C54" s="12">
        <v>50</v>
      </c>
      <c r="D54" s="8">
        <v>5.3</v>
      </c>
      <c r="E54" s="12">
        <v>47</v>
      </c>
      <c r="F54" s="8">
        <v>8.01</v>
      </c>
      <c r="G54" s="12">
        <v>3</v>
      </c>
      <c r="H54" s="8">
        <v>0.85</v>
      </c>
      <c r="I54" s="12">
        <v>0</v>
      </c>
    </row>
    <row r="55" spans="2:9" ht="15" customHeight="1" x14ac:dyDescent="0.15">
      <c r="B55" t="s">
        <v>173</v>
      </c>
      <c r="C55" s="12">
        <v>38</v>
      </c>
      <c r="D55" s="8">
        <v>4.03</v>
      </c>
      <c r="E55" s="12">
        <v>36</v>
      </c>
      <c r="F55" s="8">
        <v>6.13</v>
      </c>
      <c r="G55" s="12">
        <v>2</v>
      </c>
      <c r="H55" s="8">
        <v>0.56000000000000005</v>
      </c>
      <c r="I55" s="12">
        <v>0</v>
      </c>
    </row>
    <row r="56" spans="2:9" ht="15" customHeight="1" x14ac:dyDescent="0.15">
      <c r="B56" t="s">
        <v>138</v>
      </c>
      <c r="C56" s="12">
        <v>35</v>
      </c>
      <c r="D56" s="8">
        <v>3.71</v>
      </c>
      <c r="E56" s="12">
        <v>4</v>
      </c>
      <c r="F56" s="8">
        <v>0.68</v>
      </c>
      <c r="G56" s="12">
        <v>31</v>
      </c>
      <c r="H56" s="8">
        <v>8.73</v>
      </c>
      <c r="I56" s="12">
        <v>0</v>
      </c>
    </row>
    <row r="57" spans="2:9" ht="15" customHeight="1" x14ac:dyDescent="0.15">
      <c r="B57" t="s">
        <v>154</v>
      </c>
      <c r="C57" s="12">
        <v>35</v>
      </c>
      <c r="D57" s="8">
        <v>3.71</v>
      </c>
      <c r="E57" s="12">
        <v>35</v>
      </c>
      <c r="F57" s="8">
        <v>5.96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174</v>
      </c>
      <c r="C58" s="12">
        <v>26</v>
      </c>
      <c r="D58" s="8">
        <v>2.76</v>
      </c>
      <c r="E58" s="12">
        <v>13</v>
      </c>
      <c r="F58" s="8">
        <v>2.21</v>
      </c>
      <c r="G58" s="12">
        <v>13</v>
      </c>
      <c r="H58" s="8">
        <v>3.66</v>
      </c>
      <c r="I58" s="12">
        <v>0</v>
      </c>
    </row>
    <row r="59" spans="2:9" ht="15" customHeight="1" x14ac:dyDescent="0.15">
      <c r="B59" t="s">
        <v>140</v>
      </c>
      <c r="C59" s="12">
        <v>26</v>
      </c>
      <c r="D59" s="8">
        <v>2.76</v>
      </c>
      <c r="E59" s="12">
        <v>8</v>
      </c>
      <c r="F59" s="8">
        <v>1.36</v>
      </c>
      <c r="G59" s="12">
        <v>18</v>
      </c>
      <c r="H59" s="8">
        <v>5.07</v>
      </c>
      <c r="I59" s="12">
        <v>0</v>
      </c>
    </row>
    <row r="60" spans="2:9" ht="15" customHeight="1" x14ac:dyDescent="0.15">
      <c r="B60" t="s">
        <v>147</v>
      </c>
      <c r="C60" s="12">
        <v>25</v>
      </c>
      <c r="D60" s="8">
        <v>2.65</v>
      </c>
      <c r="E60" s="12">
        <v>22</v>
      </c>
      <c r="F60" s="8">
        <v>3.75</v>
      </c>
      <c r="G60" s="12">
        <v>3</v>
      </c>
      <c r="H60" s="8">
        <v>0.85</v>
      </c>
      <c r="I60" s="12">
        <v>0</v>
      </c>
    </row>
    <row r="61" spans="2:9" ht="15" customHeight="1" x14ac:dyDescent="0.15">
      <c r="B61" t="s">
        <v>151</v>
      </c>
      <c r="C61" s="12">
        <v>25</v>
      </c>
      <c r="D61" s="8">
        <v>2.65</v>
      </c>
      <c r="E61" s="12">
        <v>25</v>
      </c>
      <c r="F61" s="8">
        <v>4.26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156</v>
      </c>
      <c r="C62" s="12">
        <v>23</v>
      </c>
      <c r="D62" s="8">
        <v>2.44</v>
      </c>
      <c r="E62" s="12">
        <v>18</v>
      </c>
      <c r="F62" s="8">
        <v>3.07</v>
      </c>
      <c r="G62" s="12">
        <v>5</v>
      </c>
      <c r="H62" s="8">
        <v>1.41</v>
      </c>
      <c r="I62" s="12">
        <v>0</v>
      </c>
    </row>
    <row r="63" spans="2:9" ht="15" customHeight="1" x14ac:dyDescent="0.15">
      <c r="B63" t="s">
        <v>141</v>
      </c>
      <c r="C63" s="12">
        <v>18</v>
      </c>
      <c r="D63" s="8">
        <v>1.91</v>
      </c>
      <c r="E63" s="12">
        <v>3</v>
      </c>
      <c r="F63" s="8">
        <v>0.51</v>
      </c>
      <c r="G63" s="12">
        <v>15</v>
      </c>
      <c r="H63" s="8">
        <v>4.2300000000000004</v>
      </c>
      <c r="I63" s="12">
        <v>0</v>
      </c>
    </row>
    <row r="64" spans="2:9" ht="15" customHeight="1" x14ac:dyDescent="0.15">
      <c r="B64" t="s">
        <v>145</v>
      </c>
      <c r="C64" s="12">
        <v>18</v>
      </c>
      <c r="D64" s="8">
        <v>1.91</v>
      </c>
      <c r="E64" s="12">
        <v>13</v>
      </c>
      <c r="F64" s="8">
        <v>2.21</v>
      </c>
      <c r="G64" s="12">
        <v>5</v>
      </c>
      <c r="H64" s="8">
        <v>1.41</v>
      </c>
      <c r="I64" s="12">
        <v>0</v>
      </c>
    </row>
    <row r="65" spans="2:9" ht="15" customHeight="1" x14ac:dyDescent="0.15">
      <c r="B65" t="s">
        <v>166</v>
      </c>
      <c r="C65" s="12">
        <v>17</v>
      </c>
      <c r="D65" s="8">
        <v>1.8</v>
      </c>
      <c r="E65" s="12">
        <v>7</v>
      </c>
      <c r="F65" s="8">
        <v>1.19</v>
      </c>
      <c r="G65" s="12">
        <v>10</v>
      </c>
      <c r="H65" s="8">
        <v>2.82</v>
      </c>
      <c r="I65" s="12">
        <v>0</v>
      </c>
    </row>
    <row r="66" spans="2:9" ht="15" customHeight="1" x14ac:dyDescent="0.15">
      <c r="B66" t="s">
        <v>150</v>
      </c>
      <c r="C66" s="12">
        <v>17</v>
      </c>
      <c r="D66" s="8">
        <v>1.8</v>
      </c>
      <c r="E66" s="12">
        <v>15</v>
      </c>
      <c r="F66" s="8">
        <v>2.56</v>
      </c>
      <c r="G66" s="12">
        <v>2</v>
      </c>
      <c r="H66" s="8">
        <v>0.56000000000000005</v>
      </c>
      <c r="I66" s="12">
        <v>0</v>
      </c>
    </row>
    <row r="67" spans="2:9" ht="15" customHeight="1" x14ac:dyDescent="0.15">
      <c r="B67" t="s">
        <v>139</v>
      </c>
      <c r="C67" s="12">
        <v>16</v>
      </c>
      <c r="D67" s="8">
        <v>1.7</v>
      </c>
      <c r="E67" s="12">
        <v>6</v>
      </c>
      <c r="F67" s="8">
        <v>1.02</v>
      </c>
      <c r="G67" s="12">
        <v>10</v>
      </c>
      <c r="H67" s="8">
        <v>2.82</v>
      </c>
      <c r="I67" s="12">
        <v>0</v>
      </c>
    </row>
    <row r="68" spans="2:9" ht="15" customHeight="1" x14ac:dyDescent="0.15">
      <c r="B68" t="s">
        <v>160</v>
      </c>
      <c r="C68" s="12">
        <v>16</v>
      </c>
      <c r="D68" s="8">
        <v>1.7</v>
      </c>
      <c r="E68" s="12">
        <v>3</v>
      </c>
      <c r="F68" s="8">
        <v>0.51</v>
      </c>
      <c r="G68" s="12">
        <v>13</v>
      </c>
      <c r="H68" s="8">
        <v>3.66</v>
      </c>
      <c r="I68" s="12">
        <v>0</v>
      </c>
    </row>
    <row r="69" spans="2:9" ht="15" customHeight="1" x14ac:dyDescent="0.15">
      <c r="B69" t="s">
        <v>157</v>
      </c>
      <c r="C69" s="12">
        <v>16</v>
      </c>
      <c r="D69" s="8">
        <v>1.7</v>
      </c>
      <c r="E69" s="12">
        <v>13</v>
      </c>
      <c r="F69" s="8">
        <v>2.21</v>
      </c>
      <c r="G69" s="12">
        <v>3</v>
      </c>
      <c r="H69" s="8">
        <v>0.85</v>
      </c>
      <c r="I69" s="12">
        <v>0</v>
      </c>
    </row>
    <row r="70" spans="2:9" ht="15" customHeight="1" x14ac:dyDescent="0.15">
      <c r="B70" t="s">
        <v>152</v>
      </c>
      <c r="C70" s="12">
        <v>15</v>
      </c>
      <c r="D70" s="8">
        <v>1.59</v>
      </c>
      <c r="E70" s="12">
        <v>15</v>
      </c>
      <c r="F70" s="8">
        <v>2.56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144</v>
      </c>
      <c r="C71" s="12">
        <v>13</v>
      </c>
      <c r="D71" s="8">
        <v>1.38</v>
      </c>
      <c r="E71" s="12">
        <v>6</v>
      </c>
      <c r="F71" s="8">
        <v>1.02</v>
      </c>
      <c r="G71" s="12">
        <v>7</v>
      </c>
      <c r="H71" s="8">
        <v>1.97</v>
      </c>
      <c r="I71" s="12">
        <v>0</v>
      </c>
    </row>
    <row r="72" spans="2:9" ht="15" customHeight="1" x14ac:dyDescent="0.15">
      <c r="B72" t="s">
        <v>143</v>
      </c>
      <c r="C72" s="12">
        <v>12</v>
      </c>
      <c r="D72" s="8">
        <v>1.27</v>
      </c>
      <c r="E72" s="12">
        <v>6</v>
      </c>
      <c r="F72" s="8">
        <v>1.02</v>
      </c>
      <c r="G72" s="12">
        <v>6</v>
      </c>
      <c r="H72" s="8">
        <v>1.69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318</v>
      </c>
      <c r="D6" s="8">
        <v>17.41</v>
      </c>
      <c r="E6" s="12">
        <v>68</v>
      </c>
      <c r="F6" s="8">
        <v>7.9</v>
      </c>
      <c r="G6" s="12">
        <v>250</v>
      </c>
      <c r="H6" s="8">
        <v>25.91</v>
      </c>
      <c r="I6" s="12">
        <v>0</v>
      </c>
    </row>
    <row r="7" spans="2:9" ht="15" customHeight="1" x14ac:dyDescent="0.15">
      <c r="B7" t="s">
        <v>64</v>
      </c>
      <c r="C7" s="12">
        <v>379</v>
      </c>
      <c r="D7" s="8">
        <v>20.74</v>
      </c>
      <c r="E7" s="12">
        <v>65</v>
      </c>
      <c r="F7" s="8">
        <v>7.55</v>
      </c>
      <c r="G7" s="12">
        <v>314</v>
      </c>
      <c r="H7" s="8">
        <v>32.54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6</v>
      </c>
      <c r="D9" s="8">
        <v>0.33</v>
      </c>
      <c r="E9" s="12">
        <v>1</v>
      </c>
      <c r="F9" s="8">
        <v>0.12</v>
      </c>
      <c r="G9" s="12">
        <v>5</v>
      </c>
      <c r="H9" s="8">
        <v>0.52</v>
      </c>
      <c r="I9" s="12">
        <v>0</v>
      </c>
    </row>
    <row r="10" spans="2:9" ht="15" customHeight="1" x14ac:dyDescent="0.15">
      <c r="B10" t="s">
        <v>67</v>
      </c>
      <c r="C10" s="12">
        <v>19</v>
      </c>
      <c r="D10" s="8">
        <v>1.04</v>
      </c>
      <c r="E10" s="12">
        <v>3</v>
      </c>
      <c r="F10" s="8">
        <v>0.35</v>
      </c>
      <c r="G10" s="12">
        <v>16</v>
      </c>
      <c r="H10" s="8">
        <v>1.66</v>
      </c>
      <c r="I10" s="12">
        <v>0</v>
      </c>
    </row>
    <row r="11" spans="2:9" ht="15" customHeight="1" x14ac:dyDescent="0.15">
      <c r="B11" t="s">
        <v>68</v>
      </c>
      <c r="C11" s="12">
        <v>228</v>
      </c>
      <c r="D11" s="8">
        <v>12.48</v>
      </c>
      <c r="E11" s="12">
        <v>85</v>
      </c>
      <c r="F11" s="8">
        <v>9.8699999999999992</v>
      </c>
      <c r="G11" s="12">
        <v>143</v>
      </c>
      <c r="H11" s="8">
        <v>14.82</v>
      </c>
      <c r="I11" s="12">
        <v>0</v>
      </c>
    </row>
    <row r="12" spans="2:9" ht="15" customHeight="1" x14ac:dyDescent="0.15">
      <c r="B12" t="s">
        <v>69</v>
      </c>
      <c r="C12" s="12">
        <v>4</v>
      </c>
      <c r="D12" s="8">
        <v>0.22</v>
      </c>
      <c r="E12" s="12">
        <v>0</v>
      </c>
      <c r="F12" s="8">
        <v>0</v>
      </c>
      <c r="G12" s="12">
        <v>4</v>
      </c>
      <c r="H12" s="8">
        <v>0.41</v>
      </c>
      <c r="I12" s="12">
        <v>0</v>
      </c>
    </row>
    <row r="13" spans="2:9" ht="15" customHeight="1" x14ac:dyDescent="0.15">
      <c r="B13" t="s">
        <v>70</v>
      </c>
      <c r="C13" s="12">
        <v>402</v>
      </c>
      <c r="D13" s="8">
        <v>22</v>
      </c>
      <c r="E13" s="12">
        <v>310</v>
      </c>
      <c r="F13" s="8">
        <v>36</v>
      </c>
      <c r="G13" s="12">
        <v>92</v>
      </c>
      <c r="H13" s="8">
        <v>9.5299999999999994</v>
      </c>
      <c r="I13" s="12">
        <v>0</v>
      </c>
    </row>
    <row r="14" spans="2:9" ht="15" customHeight="1" x14ac:dyDescent="0.15">
      <c r="B14" t="s">
        <v>71</v>
      </c>
      <c r="C14" s="12">
        <v>53</v>
      </c>
      <c r="D14" s="8">
        <v>2.9</v>
      </c>
      <c r="E14" s="12">
        <v>21</v>
      </c>
      <c r="F14" s="8">
        <v>2.44</v>
      </c>
      <c r="G14" s="12">
        <v>32</v>
      </c>
      <c r="H14" s="8">
        <v>3.32</v>
      </c>
      <c r="I14" s="12">
        <v>0</v>
      </c>
    </row>
    <row r="15" spans="2:9" ht="15" customHeight="1" x14ac:dyDescent="0.15">
      <c r="B15" t="s">
        <v>72</v>
      </c>
      <c r="C15" s="12">
        <v>107</v>
      </c>
      <c r="D15" s="8">
        <v>5.86</v>
      </c>
      <c r="E15" s="12">
        <v>85</v>
      </c>
      <c r="F15" s="8">
        <v>9.8699999999999992</v>
      </c>
      <c r="G15" s="12">
        <v>22</v>
      </c>
      <c r="H15" s="8">
        <v>2.2799999999999998</v>
      </c>
      <c r="I15" s="12">
        <v>0</v>
      </c>
    </row>
    <row r="16" spans="2:9" ht="15" customHeight="1" x14ac:dyDescent="0.15">
      <c r="B16" t="s">
        <v>73</v>
      </c>
      <c r="C16" s="12">
        <v>149</v>
      </c>
      <c r="D16" s="8">
        <v>8.16</v>
      </c>
      <c r="E16" s="12">
        <v>127</v>
      </c>
      <c r="F16" s="8">
        <v>14.75</v>
      </c>
      <c r="G16" s="12">
        <v>22</v>
      </c>
      <c r="H16" s="8">
        <v>2.2799999999999998</v>
      </c>
      <c r="I16" s="12">
        <v>0</v>
      </c>
    </row>
    <row r="17" spans="2:9" ht="15" customHeight="1" x14ac:dyDescent="0.15">
      <c r="B17" t="s">
        <v>74</v>
      </c>
      <c r="C17" s="12">
        <v>53</v>
      </c>
      <c r="D17" s="8">
        <v>2.9</v>
      </c>
      <c r="E17" s="12">
        <v>45</v>
      </c>
      <c r="F17" s="8">
        <v>5.23</v>
      </c>
      <c r="G17" s="12">
        <v>8</v>
      </c>
      <c r="H17" s="8">
        <v>0.83</v>
      </c>
      <c r="I17" s="12">
        <v>0</v>
      </c>
    </row>
    <row r="18" spans="2:9" ht="15" customHeight="1" x14ac:dyDescent="0.15">
      <c r="B18" t="s">
        <v>75</v>
      </c>
      <c r="C18" s="12">
        <v>44</v>
      </c>
      <c r="D18" s="8">
        <v>2.41</v>
      </c>
      <c r="E18" s="12">
        <v>25</v>
      </c>
      <c r="F18" s="8">
        <v>2.9</v>
      </c>
      <c r="G18" s="12">
        <v>18</v>
      </c>
      <c r="H18" s="8">
        <v>1.87</v>
      </c>
      <c r="I18" s="12">
        <v>1</v>
      </c>
    </row>
    <row r="19" spans="2:9" ht="15" customHeight="1" x14ac:dyDescent="0.15">
      <c r="B19" t="s">
        <v>76</v>
      </c>
      <c r="C19" s="12">
        <v>65</v>
      </c>
      <c r="D19" s="8">
        <v>3.56</v>
      </c>
      <c r="E19" s="12">
        <v>26</v>
      </c>
      <c r="F19" s="8">
        <v>3.02</v>
      </c>
      <c r="G19" s="12">
        <v>39</v>
      </c>
      <c r="H19" s="8">
        <v>4.04</v>
      </c>
      <c r="I19" s="12">
        <v>0</v>
      </c>
    </row>
    <row r="20" spans="2:9" ht="15" customHeight="1" x14ac:dyDescent="0.15">
      <c r="B20" s="9" t="s">
        <v>216</v>
      </c>
      <c r="C20" s="12">
        <f>SUM(LTBL_14218[総数／事業所数])</f>
        <v>1827</v>
      </c>
      <c r="E20" s="12">
        <f>SUBTOTAL(109,LTBL_14218[個人／事業所数])</f>
        <v>861</v>
      </c>
      <c r="G20" s="12">
        <f>SUBTOTAL(109,LTBL_14218[法人／事業所数])</f>
        <v>965</v>
      </c>
      <c r="I20" s="12">
        <f>SUBTOTAL(109,LTBL_14218[法人以外の団体／事業所数])</f>
        <v>1</v>
      </c>
    </row>
    <row r="21" spans="2:9" ht="15" customHeight="1" x14ac:dyDescent="0.15">
      <c r="E21" s="11">
        <f>LTBL_14218[[#Totals],[個人／事業所数]]/LTBL_14218[[#Totals],[総数／事業所数]]</f>
        <v>0.47126436781609193</v>
      </c>
      <c r="G21" s="11">
        <f>LTBL_14218[[#Totals],[法人／事業所数]]/LTBL_14218[[#Totals],[総数／事業所数]]</f>
        <v>0.52818828680897645</v>
      </c>
      <c r="I21" s="11">
        <f>LTBL_14218[[#Totals],[法人以外の団体／事業所数]]/LTBL_14218[[#Totals],[総数／事業所数]]</f>
        <v>5.4734537493158185E-4</v>
      </c>
    </row>
    <row r="23" spans="2:9" ht="33" customHeight="1" x14ac:dyDescent="0.15">
      <c r="B23" t="s">
        <v>215</v>
      </c>
      <c r="C23" s="10" t="s">
        <v>78</v>
      </c>
      <c r="D23" s="10" t="s">
        <v>390</v>
      </c>
      <c r="E23" s="10" t="s">
        <v>80</v>
      </c>
      <c r="F23" s="10" t="s">
        <v>223</v>
      </c>
      <c r="G23" s="10" t="s">
        <v>82</v>
      </c>
      <c r="H23" s="10" t="s">
        <v>391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282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376</v>
      </c>
      <c r="D29" s="8">
        <v>20.58</v>
      </c>
      <c r="E29" s="12">
        <v>309</v>
      </c>
      <c r="F29" s="8">
        <v>35.89</v>
      </c>
      <c r="G29" s="12">
        <v>67</v>
      </c>
      <c r="H29" s="8">
        <v>6.94</v>
      </c>
      <c r="I29" s="12">
        <v>0</v>
      </c>
    </row>
    <row r="30" spans="2:9" ht="15" customHeight="1" x14ac:dyDescent="0.15">
      <c r="B30" t="s">
        <v>100</v>
      </c>
      <c r="C30" s="12">
        <v>130</v>
      </c>
      <c r="D30" s="8">
        <v>7.12</v>
      </c>
      <c r="E30" s="12">
        <v>118</v>
      </c>
      <c r="F30" s="8">
        <v>13.7</v>
      </c>
      <c r="G30" s="12">
        <v>12</v>
      </c>
      <c r="H30" s="8">
        <v>1.24</v>
      </c>
      <c r="I30" s="12">
        <v>0</v>
      </c>
    </row>
    <row r="31" spans="2:9" ht="15" customHeight="1" x14ac:dyDescent="0.15">
      <c r="B31" t="s">
        <v>85</v>
      </c>
      <c r="C31" s="12">
        <v>115</v>
      </c>
      <c r="D31" s="8">
        <v>6.29</v>
      </c>
      <c r="E31" s="12">
        <v>26</v>
      </c>
      <c r="F31" s="8">
        <v>3.02</v>
      </c>
      <c r="G31" s="12">
        <v>89</v>
      </c>
      <c r="H31" s="8">
        <v>9.2200000000000006</v>
      </c>
      <c r="I31" s="12">
        <v>0</v>
      </c>
    </row>
    <row r="32" spans="2:9" ht="15" customHeight="1" x14ac:dyDescent="0.15">
      <c r="B32" t="s">
        <v>86</v>
      </c>
      <c r="C32" s="12">
        <v>113</v>
      </c>
      <c r="D32" s="8">
        <v>6.19</v>
      </c>
      <c r="E32" s="12">
        <v>30</v>
      </c>
      <c r="F32" s="8">
        <v>3.48</v>
      </c>
      <c r="G32" s="12">
        <v>83</v>
      </c>
      <c r="H32" s="8">
        <v>8.6</v>
      </c>
      <c r="I32" s="12">
        <v>0</v>
      </c>
    </row>
    <row r="33" spans="2:9" ht="15" customHeight="1" x14ac:dyDescent="0.15">
      <c r="B33" t="s">
        <v>99</v>
      </c>
      <c r="C33" s="12">
        <v>100</v>
      </c>
      <c r="D33" s="8">
        <v>5.47</v>
      </c>
      <c r="E33" s="12">
        <v>83</v>
      </c>
      <c r="F33" s="8">
        <v>9.64</v>
      </c>
      <c r="G33" s="12">
        <v>17</v>
      </c>
      <c r="H33" s="8">
        <v>1.76</v>
      </c>
      <c r="I33" s="12">
        <v>0</v>
      </c>
    </row>
    <row r="34" spans="2:9" ht="15" customHeight="1" x14ac:dyDescent="0.15">
      <c r="B34" t="s">
        <v>88</v>
      </c>
      <c r="C34" s="12">
        <v>93</v>
      </c>
      <c r="D34" s="8">
        <v>5.09</v>
      </c>
      <c r="E34" s="12">
        <v>16</v>
      </c>
      <c r="F34" s="8">
        <v>1.86</v>
      </c>
      <c r="G34" s="12">
        <v>77</v>
      </c>
      <c r="H34" s="8">
        <v>7.98</v>
      </c>
      <c r="I34" s="12">
        <v>0</v>
      </c>
    </row>
    <row r="35" spans="2:9" ht="15" customHeight="1" x14ac:dyDescent="0.15">
      <c r="B35" t="s">
        <v>87</v>
      </c>
      <c r="C35" s="12">
        <v>90</v>
      </c>
      <c r="D35" s="8">
        <v>4.93</v>
      </c>
      <c r="E35" s="12">
        <v>12</v>
      </c>
      <c r="F35" s="8">
        <v>1.39</v>
      </c>
      <c r="G35" s="12">
        <v>78</v>
      </c>
      <c r="H35" s="8">
        <v>8.08</v>
      </c>
      <c r="I35" s="12">
        <v>0</v>
      </c>
    </row>
    <row r="36" spans="2:9" ht="15" customHeight="1" x14ac:dyDescent="0.15">
      <c r="B36" t="s">
        <v>89</v>
      </c>
      <c r="C36" s="12">
        <v>75</v>
      </c>
      <c r="D36" s="8">
        <v>4.1100000000000003</v>
      </c>
      <c r="E36" s="12">
        <v>17</v>
      </c>
      <c r="F36" s="8">
        <v>1.97</v>
      </c>
      <c r="G36" s="12">
        <v>58</v>
      </c>
      <c r="H36" s="8">
        <v>6.01</v>
      </c>
      <c r="I36" s="12">
        <v>0</v>
      </c>
    </row>
    <row r="37" spans="2:9" ht="15" customHeight="1" x14ac:dyDescent="0.15">
      <c r="B37" t="s">
        <v>92</v>
      </c>
      <c r="C37" s="12">
        <v>57</v>
      </c>
      <c r="D37" s="8">
        <v>3.12</v>
      </c>
      <c r="E37" s="12">
        <v>36</v>
      </c>
      <c r="F37" s="8">
        <v>4.18</v>
      </c>
      <c r="G37" s="12">
        <v>21</v>
      </c>
      <c r="H37" s="8">
        <v>2.1800000000000002</v>
      </c>
      <c r="I37" s="12">
        <v>0</v>
      </c>
    </row>
    <row r="38" spans="2:9" ht="15" customHeight="1" x14ac:dyDescent="0.15">
      <c r="B38" t="s">
        <v>102</v>
      </c>
      <c r="C38" s="12">
        <v>53</v>
      </c>
      <c r="D38" s="8">
        <v>2.9</v>
      </c>
      <c r="E38" s="12">
        <v>45</v>
      </c>
      <c r="F38" s="8">
        <v>5.23</v>
      </c>
      <c r="G38" s="12">
        <v>8</v>
      </c>
      <c r="H38" s="8">
        <v>0.83</v>
      </c>
      <c r="I38" s="12">
        <v>0</v>
      </c>
    </row>
    <row r="39" spans="2:9" ht="15" customHeight="1" x14ac:dyDescent="0.15">
      <c r="B39" t="s">
        <v>120</v>
      </c>
      <c r="C39" s="12">
        <v>44</v>
      </c>
      <c r="D39" s="8">
        <v>2.41</v>
      </c>
      <c r="E39" s="12">
        <v>7</v>
      </c>
      <c r="F39" s="8">
        <v>0.81</v>
      </c>
      <c r="G39" s="12">
        <v>37</v>
      </c>
      <c r="H39" s="8">
        <v>3.83</v>
      </c>
      <c r="I39" s="12">
        <v>0</v>
      </c>
    </row>
    <row r="40" spans="2:9" ht="15" customHeight="1" x14ac:dyDescent="0.15">
      <c r="B40" t="s">
        <v>94</v>
      </c>
      <c r="C40" s="12">
        <v>41</v>
      </c>
      <c r="D40" s="8">
        <v>2.2400000000000002</v>
      </c>
      <c r="E40" s="12">
        <v>18</v>
      </c>
      <c r="F40" s="8">
        <v>2.09</v>
      </c>
      <c r="G40" s="12">
        <v>23</v>
      </c>
      <c r="H40" s="8">
        <v>2.38</v>
      </c>
      <c r="I40" s="12">
        <v>0</v>
      </c>
    </row>
    <row r="41" spans="2:9" ht="15" customHeight="1" x14ac:dyDescent="0.15">
      <c r="B41" t="s">
        <v>117</v>
      </c>
      <c r="C41" s="12">
        <v>37</v>
      </c>
      <c r="D41" s="8">
        <v>2.0299999999999998</v>
      </c>
      <c r="E41" s="12">
        <v>19</v>
      </c>
      <c r="F41" s="8">
        <v>2.21</v>
      </c>
      <c r="G41" s="12">
        <v>18</v>
      </c>
      <c r="H41" s="8">
        <v>1.87</v>
      </c>
      <c r="I41" s="12">
        <v>0</v>
      </c>
    </row>
    <row r="42" spans="2:9" ht="15" customHeight="1" x14ac:dyDescent="0.15">
      <c r="B42" t="s">
        <v>93</v>
      </c>
      <c r="C42" s="12">
        <v>33</v>
      </c>
      <c r="D42" s="8">
        <v>1.81</v>
      </c>
      <c r="E42" s="12">
        <v>17</v>
      </c>
      <c r="F42" s="8">
        <v>1.97</v>
      </c>
      <c r="G42" s="12">
        <v>16</v>
      </c>
      <c r="H42" s="8">
        <v>1.66</v>
      </c>
      <c r="I42" s="12">
        <v>0</v>
      </c>
    </row>
    <row r="43" spans="2:9" ht="15" customHeight="1" x14ac:dyDescent="0.15">
      <c r="B43" t="s">
        <v>103</v>
      </c>
      <c r="C43" s="12">
        <v>32</v>
      </c>
      <c r="D43" s="8">
        <v>1.75</v>
      </c>
      <c r="E43" s="12">
        <v>25</v>
      </c>
      <c r="F43" s="8">
        <v>2.9</v>
      </c>
      <c r="G43" s="12">
        <v>7</v>
      </c>
      <c r="H43" s="8">
        <v>0.73</v>
      </c>
      <c r="I43" s="12">
        <v>0</v>
      </c>
    </row>
    <row r="44" spans="2:9" ht="15" customHeight="1" x14ac:dyDescent="0.15">
      <c r="B44" t="s">
        <v>98</v>
      </c>
      <c r="C44" s="12">
        <v>28</v>
      </c>
      <c r="D44" s="8">
        <v>1.53</v>
      </c>
      <c r="E44" s="12">
        <v>9</v>
      </c>
      <c r="F44" s="8">
        <v>1.05</v>
      </c>
      <c r="G44" s="12">
        <v>19</v>
      </c>
      <c r="H44" s="8">
        <v>1.97</v>
      </c>
      <c r="I44" s="12">
        <v>0</v>
      </c>
    </row>
    <row r="45" spans="2:9" ht="15" customHeight="1" x14ac:dyDescent="0.15">
      <c r="B45" t="s">
        <v>123</v>
      </c>
      <c r="C45" s="12">
        <v>26</v>
      </c>
      <c r="D45" s="8">
        <v>1.42</v>
      </c>
      <c r="E45" s="12">
        <v>6</v>
      </c>
      <c r="F45" s="8">
        <v>0.7</v>
      </c>
      <c r="G45" s="12">
        <v>20</v>
      </c>
      <c r="H45" s="8">
        <v>2.0699999999999998</v>
      </c>
      <c r="I45" s="12">
        <v>0</v>
      </c>
    </row>
    <row r="46" spans="2:9" ht="15" customHeight="1" x14ac:dyDescent="0.15">
      <c r="B46" t="s">
        <v>106</v>
      </c>
      <c r="C46" s="12">
        <v>26</v>
      </c>
      <c r="D46" s="8">
        <v>1.42</v>
      </c>
      <c r="E46" s="12">
        <v>3</v>
      </c>
      <c r="F46" s="8">
        <v>0.35</v>
      </c>
      <c r="G46" s="12">
        <v>23</v>
      </c>
      <c r="H46" s="8">
        <v>2.38</v>
      </c>
      <c r="I46" s="12">
        <v>0</v>
      </c>
    </row>
    <row r="47" spans="2:9" ht="15" customHeight="1" x14ac:dyDescent="0.15">
      <c r="B47" t="s">
        <v>124</v>
      </c>
      <c r="C47" s="12">
        <v>24</v>
      </c>
      <c r="D47" s="8">
        <v>1.31</v>
      </c>
      <c r="E47" s="12">
        <v>2</v>
      </c>
      <c r="F47" s="8">
        <v>0.23</v>
      </c>
      <c r="G47" s="12">
        <v>22</v>
      </c>
      <c r="H47" s="8">
        <v>2.2799999999999998</v>
      </c>
      <c r="I47" s="12">
        <v>0</v>
      </c>
    </row>
    <row r="48" spans="2:9" ht="15" customHeight="1" x14ac:dyDescent="0.15">
      <c r="B48" t="s">
        <v>97</v>
      </c>
      <c r="C48" s="12">
        <v>24</v>
      </c>
      <c r="D48" s="8">
        <v>1.31</v>
      </c>
      <c r="E48" s="12">
        <v>12</v>
      </c>
      <c r="F48" s="8">
        <v>1.39</v>
      </c>
      <c r="G48" s="12">
        <v>12</v>
      </c>
      <c r="H48" s="8">
        <v>1.24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201</v>
      </c>
      <c r="D52" s="8">
        <v>11</v>
      </c>
      <c r="E52" s="12">
        <v>191</v>
      </c>
      <c r="F52" s="8">
        <v>22.18</v>
      </c>
      <c r="G52" s="12">
        <v>10</v>
      </c>
      <c r="H52" s="8">
        <v>1.04</v>
      </c>
      <c r="I52" s="12">
        <v>0</v>
      </c>
    </row>
    <row r="53" spans="2:9" ht="15" customHeight="1" x14ac:dyDescent="0.15">
      <c r="B53" t="s">
        <v>147</v>
      </c>
      <c r="C53" s="12">
        <v>99</v>
      </c>
      <c r="D53" s="8">
        <v>5.42</v>
      </c>
      <c r="E53" s="12">
        <v>64</v>
      </c>
      <c r="F53" s="8">
        <v>7.43</v>
      </c>
      <c r="G53" s="12">
        <v>35</v>
      </c>
      <c r="H53" s="8">
        <v>3.63</v>
      </c>
      <c r="I53" s="12">
        <v>0</v>
      </c>
    </row>
    <row r="54" spans="2:9" ht="15" customHeight="1" x14ac:dyDescent="0.15">
      <c r="B54" t="s">
        <v>155</v>
      </c>
      <c r="C54" s="12">
        <v>69</v>
      </c>
      <c r="D54" s="8">
        <v>3.78</v>
      </c>
      <c r="E54" s="12">
        <v>65</v>
      </c>
      <c r="F54" s="8">
        <v>7.55</v>
      </c>
      <c r="G54" s="12">
        <v>4</v>
      </c>
      <c r="H54" s="8">
        <v>0.41</v>
      </c>
      <c r="I54" s="12">
        <v>0</v>
      </c>
    </row>
    <row r="55" spans="2:9" ht="15" customHeight="1" x14ac:dyDescent="0.15">
      <c r="B55" t="s">
        <v>176</v>
      </c>
      <c r="C55" s="12">
        <v>56</v>
      </c>
      <c r="D55" s="8">
        <v>3.07</v>
      </c>
      <c r="E55" s="12">
        <v>9</v>
      </c>
      <c r="F55" s="8">
        <v>1.05</v>
      </c>
      <c r="G55" s="12">
        <v>47</v>
      </c>
      <c r="H55" s="8">
        <v>4.87</v>
      </c>
      <c r="I55" s="12">
        <v>0</v>
      </c>
    </row>
    <row r="56" spans="2:9" ht="15" customHeight="1" x14ac:dyDescent="0.15">
      <c r="B56" t="s">
        <v>173</v>
      </c>
      <c r="C56" s="12">
        <v>54</v>
      </c>
      <c r="D56" s="8">
        <v>2.96</v>
      </c>
      <c r="E56" s="12">
        <v>47</v>
      </c>
      <c r="F56" s="8">
        <v>5.46</v>
      </c>
      <c r="G56" s="12">
        <v>7</v>
      </c>
      <c r="H56" s="8">
        <v>0.73</v>
      </c>
      <c r="I56" s="12">
        <v>0</v>
      </c>
    </row>
    <row r="57" spans="2:9" ht="15" customHeight="1" x14ac:dyDescent="0.15">
      <c r="B57" t="s">
        <v>141</v>
      </c>
      <c r="C57" s="12">
        <v>46</v>
      </c>
      <c r="D57" s="8">
        <v>2.52</v>
      </c>
      <c r="E57" s="12">
        <v>4</v>
      </c>
      <c r="F57" s="8">
        <v>0.46</v>
      </c>
      <c r="G57" s="12">
        <v>42</v>
      </c>
      <c r="H57" s="8">
        <v>4.3499999999999996</v>
      </c>
      <c r="I57" s="12">
        <v>0</v>
      </c>
    </row>
    <row r="58" spans="2:9" ht="15" customHeight="1" x14ac:dyDescent="0.15">
      <c r="B58" t="s">
        <v>154</v>
      </c>
      <c r="C58" s="12">
        <v>40</v>
      </c>
      <c r="D58" s="8">
        <v>2.19</v>
      </c>
      <c r="E58" s="12">
        <v>37</v>
      </c>
      <c r="F58" s="8">
        <v>4.3</v>
      </c>
      <c r="G58" s="12">
        <v>3</v>
      </c>
      <c r="H58" s="8">
        <v>0.31</v>
      </c>
      <c r="I58" s="12">
        <v>0</v>
      </c>
    </row>
    <row r="59" spans="2:9" ht="15" customHeight="1" x14ac:dyDescent="0.15">
      <c r="B59" t="s">
        <v>181</v>
      </c>
      <c r="C59" s="12">
        <v>37</v>
      </c>
      <c r="D59" s="8">
        <v>2.0299999999999998</v>
      </c>
      <c r="E59" s="12">
        <v>19</v>
      </c>
      <c r="F59" s="8">
        <v>2.21</v>
      </c>
      <c r="G59" s="12">
        <v>18</v>
      </c>
      <c r="H59" s="8">
        <v>1.87</v>
      </c>
      <c r="I59" s="12">
        <v>0</v>
      </c>
    </row>
    <row r="60" spans="2:9" ht="15" customHeight="1" x14ac:dyDescent="0.15">
      <c r="B60" t="s">
        <v>138</v>
      </c>
      <c r="C60" s="12">
        <v>33</v>
      </c>
      <c r="D60" s="8">
        <v>1.81</v>
      </c>
      <c r="E60" s="12">
        <v>2</v>
      </c>
      <c r="F60" s="8">
        <v>0.23</v>
      </c>
      <c r="G60" s="12">
        <v>31</v>
      </c>
      <c r="H60" s="8">
        <v>3.21</v>
      </c>
      <c r="I60" s="12">
        <v>0</v>
      </c>
    </row>
    <row r="61" spans="2:9" ht="15" customHeight="1" x14ac:dyDescent="0.15">
      <c r="B61" t="s">
        <v>156</v>
      </c>
      <c r="C61" s="12">
        <v>33</v>
      </c>
      <c r="D61" s="8">
        <v>1.81</v>
      </c>
      <c r="E61" s="12">
        <v>31</v>
      </c>
      <c r="F61" s="8">
        <v>3.6</v>
      </c>
      <c r="G61" s="12">
        <v>2</v>
      </c>
      <c r="H61" s="8">
        <v>0.21</v>
      </c>
      <c r="I61" s="12">
        <v>0</v>
      </c>
    </row>
    <row r="62" spans="2:9" ht="15" customHeight="1" x14ac:dyDescent="0.15">
      <c r="B62" t="s">
        <v>177</v>
      </c>
      <c r="C62" s="12">
        <v>32</v>
      </c>
      <c r="D62" s="8">
        <v>1.75</v>
      </c>
      <c r="E62" s="12">
        <v>6</v>
      </c>
      <c r="F62" s="8">
        <v>0.7</v>
      </c>
      <c r="G62" s="12">
        <v>26</v>
      </c>
      <c r="H62" s="8">
        <v>2.69</v>
      </c>
      <c r="I62" s="12">
        <v>0</v>
      </c>
    </row>
    <row r="63" spans="2:9" ht="15" customHeight="1" x14ac:dyDescent="0.15">
      <c r="B63" t="s">
        <v>190</v>
      </c>
      <c r="C63" s="12">
        <v>32</v>
      </c>
      <c r="D63" s="8">
        <v>1.75</v>
      </c>
      <c r="E63" s="12">
        <v>4</v>
      </c>
      <c r="F63" s="8">
        <v>0.46</v>
      </c>
      <c r="G63" s="12">
        <v>28</v>
      </c>
      <c r="H63" s="8">
        <v>2.9</v>
      </c>
      <c r="I63" s="12">
        <v>0</v>
      </c>
    </row>
    <row r="64" spans="2:9" ht="15" customHeight="1" x14ac:dyDescent="0.15">
      <c r="B64" t="s">
        <v>174</v>
      </c>
      <c r="C64" s="12">
        <v>31</v>
      </c>
      <c r="D64" s="8">
        <v>1.7</v>
      </c>
      <c r="E64" s="12">
        <v>12</v>
      </c>
      <c r="F64" s="8">
        <v>1.39</v>
      </c>
      <c r="G64" s="12">
        <v>19</v>
      </c>
      <c r="H64" s="8">
        <v>1.97</v>
      </c>
      <c r="I64" s="12">
        <v>0</v>
      </c>
    </row>
    <row r="65" spans="2:9" ht="15" customHeight="1" x14ac:dyDescent="0.15">
      <c r="B65" t="s">
        <v>140</v>
      </c>
      <c r="C65" s="12">
        <v>31</v>
      </c>
      <c r="D65" s="8">
        <v>1.7</v>
      </c>
      <c r="E65" s="12">
        <v>7</v>
      </c>
      <c r="F65" s="8">
        <v>0.81</v>
      </c>
      <c r="G65" s="12">
        <v>24</v>
      </c>
      <c r="H65" s="8">
        <v>2.4900000000000002</v>
      </c>
      <c r="I65" s="12">
        <v>0</v>
      </c>
    </row>
    <row r="66" spans="2:9" ht="15" customHeight="1" x14ac:dyDescent="0.15">
      <c r="B66" t="s">
        <v>189</v>
      </c>
      <c r="C66" s="12">
        <v>28</v>
      </c>
      <c r="D66" s="8">
        <v>1.53</v>
      </c>
      <c r="E66" s="12">
        <v>7</v>
      </c>
      <c r="F66" s="8">
        <v>0.81</v>
      </c>
      <c r="G66" s="12">
        <v>21</v>
      </c>
      <c r="H66" s="8">
        <v>2.1800000000000002</v>
      </c>
      <c r="I66" s="12">
        <v>0</v>
      </c>
    </row>
    <row r="67" spans="2:9" ht="15" customHeight="1" x14ac:dyDescent="0.15">
      <c r="B67" t="s">
        <v>158</v>
      </c>
      <c r="C67" s="12">
        <v>27</v>
      </c>
      <c r="D67" s="8">
        <v>1.48</v>
      </c>
      <c r="E67" s="12">
        <v>8</v>
      </c>
      <c r="F67" s="8">
        <v>0.93</v>
      </c>
      <c r="G67" s="12">
        <v>19</v>
      </c>
      <c r="H67" s="8">
        <v>1.97</v>
      </c>
      <c r="I67" s="12">
        <v>0</v>
      </c>
    </row>
    <row r="68" spans="2:9" ht="15" customHeight="1" x14ac:dyDescent="0.15">
      <c r="B68" t="s">
        <v>150</v>
      </c>
      <c r="C68" s="12">
        <v>27</v>
      </c>
      <c r="D68" s="8">
        <v>1.48</v>
      </c>
      <c r="E68" s="12">
        <v>20</v>
      </c>
      <c r="F68" s="8">
        <v>2.3199999999999998</v>
      </c>
      <c r="G68" s="12">
        <v>7</v>
      </c>
      <c r="H68" s="8">
        <v>0.73</v>
      </c>
      <c r="I68" s="12">
        <v>0</v>
      </c>
    </row>
    <row r="69" spans="2:9" ht="15" customHeight="1" x14ac:dyDescent="0.15">
      <c r="B69" t="s">
        <v>151</v>
      </c>
      <c r="C69" s="12">
        <v>27</v>
      </c>
      <c r="D69" s="8">
        <v>1.48</v>
      </c>
      <c r="E69" s="12">
        <v>23</v>
      </c>
      <c r="F69" s="8">
        <v>2.67</v>
      </c>
      <c r="G69" s="12">
        <v>4</v>
      </c>
      <c r="H69" s="8">
        <v>0.41</v>
      </c>
      <c r="I69" s="12">
        <v>0</v>
      </c>
    </row>
    <row r="70" spans="2:9" ht="15" customHeight="1" x14ac:dyDescent="0.15">
      <c r="B70" t="s">
        <v>157</v>
      </c>
      <c r="C70" s="12">
        <v>25</v>
      </c>
      <c r="D70" s="8">
        <v>1.37</v>
      </c>
      <c r="E70" s="12">
        <v>20</v>
      </c>
      <c r="F70" s="8">
        <v>2.3199999999999998</v>
      </c>
      <c r="G70" s="12">
        <v>5</v>
      </c>
      <c r="H70" s="8">
        <v>0.52</v>
      </c>
      <c r="I70" s="12">
        <v>0</v>
      </c>
    </row>
    <row r="71" spans="2:9" ht="15" customHeight="1" x14ac:dyDescent="0.15">
      <c r="B71" t="s">
        <v>139</v>
      </c>
      <c r="C71" s="12">
        <v>22</v>
      </c>
      <c r="D71" s="8">
        <v>1.2</v>
      </c>
      <c r="E71" s="12">
        <v>4</v>
      </c>
      <c r="F71" s="8">
        <v>0.46</v>
      </c>
      <c r="G71" s="12">
        <v>18</v>
      </c>
      <c r="H71" s="8">
        <v>1.87</v>
      </c>
      <c r="I71" s="12">
        <v>0</v>
      </c>
    </row>
    <row r="72" spans="2:9" ht="15" customHeight="1" x14ac:dyDescent="0.15">
      <c r="B72" t="s">
        <v>160</v>
      </c>
      <c r="C72" s="12">
        <v>22</v>
      </c>
      <c r="D72" s="8">
        <v>1.2</v>
      </c>
      <c r="E72" s="12">
        <v>8</v>
      </c>
      <c r="F72" s="8">
        <v>0.93</v>
      </c>
      <c r="G72" s="12">
        <v>14</v>
      </c>
      <c r="H72" s="8">
        <v>1.45</v>
      </c>
      <c r="I72" s="12">
        <v>0</v>
      </c>
    </row>
    <row r="73" spans="2:9" ht="15" customHeight="1" x14ac:dyDescent="0.15">
      <c r="B73" t="s">
        <v>149</v>
      </c>
      <c r="C73" s="12">
        <v>22</v>
      </c>
      <c r="D73" s="8">
        <v>1.2</v>
      </c>
      <c r="E73" s="12">
        <v>7</v>
      </c>
      <c r="F73" s="8">
        <v>0.81</v>
      </c>
      <c r="G73" s="12">
        <v>15</v>
      </c>
      <c r="H73" s="8">
        <v>1.55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105</v>
      </c>
      <c r="D6" s="8">
        <v>17.13</v>
      </c>
      <c r="E6" s="12">
        <v>39</v>
      </c>
      <c r="F6" s="8">
        <v>14.39</v>
      </c>
      <c r="G6" s="12">
        <v>66</v>
      </c>
      <c r="H6" s="8">
        <v>19.53</v>
      </c>
      <c r="I6" s="12">
        <v>0</v>
      </c>
    </row>
    <row r="7" spans="2:9" ht="15" customHeight="1" x14ac:dyDescent="0.15">
      <c r="B7" t="s">
        <v>64</v>
      </c>
      <c r="C7" s="12">
        <v>18</v>
      </c>
      <c r="D7" s="8">
        <v>2.94</v>
      </c>
      <c r="E7" s="12">
        <v>6</v>
      </c>
      <c r="F7" s="8">
        <v>2.21</v>
      </c>
      <c r="G7" s="12">
        <v>12</v>
      </c>
      <c r="H7" s="8">
        <v>3.55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17</v>
      </c>
      <c r="D9" s="8">
        <v>2.77</v>
      </c>
      <c r="E9" s="12">
        <v>1</v>
      </c>
      <c r="F9" s="8">
        <v>0.37</v>
      </c>
      <c r="G9" s="12">
        <v>16</v>
      </c>
      <c r="H9" s="8">
        <v>4.7300000000000004</v>
      </c>
      <c r="I9" s="12">
        <v>0</v>
      </c>
    </row>
    <row r="10" spans="2:9" ht="15" customHeight="1" x14ac:dyDescent="0.15">
      <c r="B10" t="s">
        <v>67</v>
      </c>
      <c r="C10" s="12">
        <v>4</v>
      </c>
      <c r="D10" s="8">
        <v>0.65</v>
      </c>
      <c r="E10" s="12">
        <v>0</v>
      </c>
      <c r="F10" s="8">
        <v>0</v>
      </c>
      <c r="G10" s="12">
        <v>4</v>
      </c>
      <c r="H10" s="8">
        <v>1.18</v>
      </c>
      <c r="I10" s="12">
        <v>0</v>
      </c>
    </row>
    <row r="11" spans="2:9" ht="15" customHeight="1" x14ac:dyDescent="0.15">
      <c r="B11" t="s">
        <v>68</v>
      </c>
      <c r="C11" s="12">
        <v>168</v>
      </c>
      <c r="D11" s="8">
        <v>27.41</v>
      </c>
      <c r="E11" s="12">
        <v>81</v>
      </c>
      <c r="F11" s="8">
        <v>29.89</v>
      </c>
      <c r="G11" s="12">
        <v>87</v>
      </c>
      <c r="H11" s="8">
        <v>25.74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0.16</v>
      </c>
      <c r="E12" s="12">
        <v>1</v>
      </c>
      <c r="F12" s="8">
        <v>0.37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70</v>
      </c>
      <c r="C13" s="12">
        <v>56</v>
      </c>
      <c r="D13" s="8">
        <v>9.14</v>
      </c>
      <c r="E13" s="12">
        <v>9</v>
      </c>
      <c r="F13" s="8">
        <v>3.32</v>
      </c>
      <c r="G13" s="12">
        <v>46</v>
      </c>
      <c r="H13" s="8">
        <v>13.61</v>
      </c>
      <c r="I13" s="12">
        <v>1</v>
      </c>
    </row>
    <row r="14" spans="2:9" ht="15" customHeight="1" x14ac:dyDescent="0.15">
      <c r="B14" t="s">
        <v>71</v>
      </c>
      <c r="C14" s="12">
        <v>45</v>
      </c>
      <c r="D14" s="8">
        <v>7.34</v>
      </c>
      <c r="E14" s="12">
        <v>17</v>
      </c>
      <c r="F14" s="8">
        <v>6.27</v>
      </c>
      <c r="G14" s="12">
        <v>28</v>
      </c>
      <c r="H14" s="8">
        <v>8.2799999999999994</v>
      </c>
      <c r="I14" s="12">
        <v>0</v>
      </c>
    </row>
    <row r="15" spans="2:9" ht="15" customHeight="1" x14ac:dyDescent="0.15">
      <c r="B15" t="s">
        <v>72</v>
      </c>
      <c r="C15" s="12">
        <v>71</v>
      </c>
      <c r="D15" s="8">
        <v>11.58</v>
      </c>
      <c r="E15" s="12">
        <v>44</v>
      </c>
      <c r="F15" s="8">
        <v>16.239999999999998</v>
      </c>
      <c r="G15" s="12">
        <v>27</v>
      </c>
      <c r="H15" s="8">
        <v>7.99</v>
      </c>
      <c r="I15" s="12">
        <v>0</v>
      </c>
    </row>
    <row r="16" spans="2:9" ht="15" customHeight="1" x14ac:dyDescent="0.15">
      <c r="B16" t="s">
        <v>73</v>
      </c>
      <c r="C16" s="12">
        <v>69</v>
      </c>
      <c r="D16" s="8">
        <v>11.26</v>
      </c>
      <c r="E16" s="12">
        <v>47</v>
      </c>
      <c r="F16" s="8">
        <v>17.34</v>
      </c>
      <c r="G16" s="12">
        <v>22</v>
      </c>
      <c r="H16" s="8">
        <v>6.51</v>
      </c>
      <c r="I16" s="12">
        <v>0</v>
      </c>
    </row>
    <row r="17" spans="2:9" ht="15" customHeight="1" x14ac:dyDescent="0.15">
      <c r="B17" t="s">
        <v>74</v>
      </c>
      <c r="C17" s="12">
        <v>17</v>
      </c>
      <c r="D17" s="8">
        <v>2.77</v>
      </c>
      <c r="E17" s="12">
        <v>11</v>
      </c>
      <c r="F17" s="8">
        <v>4.0599999999999996</v>
      </c>
      <c r="G17" s="12">
        <v>6</v>
      </c>
      <c r="H17" s="8">
        <v>1.78</v>
      </c>
      <c r="I17" s="12">
        <v>0</v>
      </c>
    </row>
    <row r="18" spans="2:9" ht="15" customHeight="1" x14ac:dyDescent="0.15">
      <c r="B18" t="s">
        <v>75</v>
      </c>
      <c r="C18" s="12">
        <v>22</v>
      </c>
      <c r="D18" s="8">
        <v>3.59</v>
      </c>
      <c r="E18" s="12">
        <v>11</v>
      </c>
      <c r="F18" s="8">
        <v>4.0599999999999996</v>
      </c>
      <c r="G18" s="12">
        <v>10</v>
      </c>
      <c r="H18" s="8">
        <v>2.96</v>
      </c>
      <c r="I18" s="12">
        <v>1</v>
      </c>
    </row>
    <row r="19" spans="2:9" ht="15" customHeight="1" x14ac:dyDescent="0.15">
      <c r="B19" t="s">
        <v>76</v>
      </c>
      <c r="C19" s="12">
        <v>20</v>
      </c>
      <c r="D19" s="8">
        <v>3.26</v>
      </c>
      <c r="E19" s="12">
        <v>4</v>
      </c>
      <c r="F19" s="8">
        <v>1.48</v>
      </c>
      <c r="G19" s="12">
        <v>14</v>
      </c>
      <c r="H19" s="8">
        <v>4.1399999999999997</v>
      </c>
      <c r="I19" s="12">
        <v>2</v>
      </c>
    </row>
    <row r="20" spans="2:9" ht="15" customHeight="1" x14ac:dyDescent="0.15">
      <c r="B20" s="9" t="s">
        <v>216</v>
      </c>
      <c r="C20" s="12">
        <f>SUM(LTBL_14301[総数／事業所数])</f>
        <v>613</v>
      </c>
      <c r="E20" s="12">
        <f>SUBTOTAL(109,LTBL_14301[個人／事業所数])</f>
        <v>271</v>
      </c>
      <c r="G20" s="12">
        <f>SUBTOTAL(109,LTBL_14301[法人／事業所数])</f>
        <v>338</v>
      </c>
      <c r="I20" s="12">
        <f>SUBTOTAL(109,LTBL_14301[法人以外の団体／事業所数])</f>
        <v>4</v>
      </c>
    </row>
    <row r="21" spans="2:9" ht="15" customHeight="1" x14ac:dyDescent="0.15">
      <c r="E21" s="11">
        <f>LTBL_14301[[#Totals],[個人／事業所数]]/LTBL_14301[[#Totals],[総数／事業所数]]</f>
        <v>0.44208809135399674</v>
      </c>
      <c r="G21" s="11">
        <f>LTBL_14301[[#Totals],[法人／事業所数]]/LTBL_14301[[#Totals],[総数／事業所数]]</f>
        <v>0.5513866231647635</v>
      </c>
      <c r="I21" s="11">
        <f>LTBL_14301[[#Totals],[法人以外の団体／事業所数]]/LTBL_14301[[#Totals],[総数／事業所数]]</f>
        <v>6.5252854812398045E-3</v>
      </c>
    </row>
    <row r="23" spans="2:9" ht="33" customHeight="1" x14ac:dyDescent="0.15">
      <c r="B23" t="s">
        <v>215</v>
      </c>
      <c r="C23" s="10" t="s">
        <v>78</v>
      </c>
      <c r="D23" s="10" t="s">
        <v>393</v>
      </c>
      <c r="E23" s="10" t="s">
        <v>80</v>
      </c>
      <c r="F23" s="10" t="s">
        <v>394</v>
      </c>
      <c r="G23" s="10" t="s">
        <v>82</v>
      </c>
      <c r="H23" s="10" t="s">
        <v>395</v>
      </c>
      <c r="I23" s="10" t="s">
        <v>84</v>
      </c>
    </row>
    <row r="24" spans="2:9" ht="15" customHeight="1" x14ac:dyDescent="0.15">
      <c r="B24" t="s">
        <v>218</v>
      </c>
      <c r="C24">
        <v>0</v>
      </c>
      <c r="D24" t="s">
        <v>217</v>
      </c>
      <c r="E24">
        <v>0</v>
      </c>
      <c r="F24" t="s">
        <v>219</v>
      </c>
      <c r="G24">
        <v>0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60</v>
      </c>
      <c r="D29" s="8">
        <v>9.7899999999999991</v>
      </c>
      <c r="E29" s="12">
        <v>43</v>
      </c>
      <c r="F29" s="8">
        <v>15.87</v>
      </c>
      <c r="G29" s="12">
        <v>17</v>
      </c>
      <c r="H29" s="8">
        <v>5.03</v>
      </c>
      <c r="I29" s="12">
        <v>0</v>
      </c>
    </row>
    <row r="30" spans="2:9" ht="15" customHeight="1" x14ac:dyDescent="0.15">
      <c r="B30" t="s">
        <v>85</v>
      </c>
      <c r="C30" s="12">
        <v>54</v>
      </c>
      <c r="D30" s="8">
        <v>8.81</v>
      </c>
      <c r="E30" s="12">
        <v>11</v>
      </c>
      <c r="F30" s="8">
        <v>4.0599999999999996</v>
      </c>
      <c r="G30" s="12">
        <v>43</v>
      </c>
      <c r="H30" s="8">
        <v>12.72</v>
      </c>
      <c r="I30" s="12">
        <v>0</v>
      </c>
    </row>
    <row r="31" spans="2:9" ht="15" customHeight="1" x14ac:dyDescent="0.15">
      <c r="B31" t="s">
        <v>94</v>
      </c>
      <c r="C31" s="12">
        <v>51</v>
      </c>
      <c r="D31" s="8">
        <v>8.32</v>
      </c>
      <c r="E31" s="12">
        <v>30</v>
      </c>
      <c r="F31" s="8">
        <v>11.07</v>
      </c>
      <c r="G31" s="12">
        <v>21</v>
      </c>
      <c r="H31" s="8">
        <v>6.21</v>
      </c>
      <c r="I31" s="12">
        <v>0</v>
      </c>
    </row>
    <row r="32" spans="2:9" ht="15" customHeight="1" x14ac:dyDescent="0.15">
      <c r="B32" t="s">
        <v>100</v>
      </c>
      <c r="C32" s="12">
        <v>46</v>
      </c>
      <c r="D32" s="8">
        <v>7.5</v>
      </c>
      <c r="E32" s="12">
        <v>39</v>
      </c>
      <c r="F32" s="8">
        <v>14.39</v>
      </c>
      <c r="G32" s="12">
        <v>7</v>
      </c>
      <c r="H32" s="8">
        <v>2.0699999999999998</v>
      </c>
      <c r="I32" s="12">
        <v>0</v>
      </c>
    </row>
    <row r="33" spans="2:9" ht="15" customHeight="1" x14ac:dyDescent="0.15">
      <c r="B33" t="s">
        <v>96</v>
      </c>
      <c r="C33" s="12">
        <v>40</v>
      </c>
      <c r="D33" s="8">
        <v>6.53</v>
      </c>
      <c r="E33" s="12">
        <v>7</v>
      </c>
      <c r="F33" s="8">
        <v>2.58</v>
      </c>
      <c r="G33" s="12">
        <v>32</v>
      </c>
      <c r="H33" s="8">
        <v>9.4700000000000006</v>
      </c>
      <c r="I33" s="12">
        <v>1</v>
      </c>
    </row>
    <row r="34" spans="2:9" ht="15" customHeight="1" x14ac:dyDescent="0.15">
      <c r="B34" t="s">
        <v>86</v>
      </c>
      <c r="C34" s="12">
        <v>37</v>
      </c>
      <c r="D34" s="8">
        <v>6.04</v>
      </c>
      <c r="E34" s="12">
        <v>28</v>
      </c>
      <c r="F34" s="8">
        <v>10.33</v>
      </c>
      <c r="G34" s="12">
        <v>9</v>
      </c>
      <c r="H34" s="8">
        <v>2.66</v>
      </c>
      <c r="I34" s="12">
        <v>0</v>
      </c>
    </row>
    <row r="35" spans="2:9" ht="15" customHeight="1" x14ac:dyDescent="0.15">
      <c r="B35" t="s">
        <v>92</v>
      </c>
      <c r="C35" s="12">
        <v>36</v>
      </c>
      <c r="D35" s="8">
        <v>5.87</v>
      </c>
      <c r="E35" s="12">
        <v>21</v>
      </c>
      <c r="F35" s="8">
        <v>7.75</v>
      </c>
      <c r="G35" s="12">
        <v>15</v>
      </c>
      <c r="H35" s="8">
        <v>4.4400000000000004</v>
      </c>
      <c r="I35" s="12">
        <v>0</v>
      </c>
    </row>
    <row r="36" spans="2:9" ht="15" customHeight="1" x14ac:dyDescent="0.15">
      <c r="B36" t="s">
        <v>93</v>
      </c>
      <c r="C36" s="12">
        <v>26</v>
      </c>
      <c r="D36" s="8">
        <v>4.24</v>
      </c>
      <c r="E36" s="12">
        <v>12</v>
      </c>
      <c r="F36" s="8">
        <v>4.43</v>
      </c>
      <c r="G36" s="12">
        <v>14</v>
      </c>
      <c r="H36" s="8">
        <v>4.1399999999999997</v>
      </c>
      <c r="I36" s="12">
        <v>0</v>
      </c>
    </row>
    <row r="37" spans="2:9" ht="15" customHeight="1" x14ac:dyDescent="0.15">
      <c r="B37" t="s">
        <v>98</v>
      </c>
      <c r="C37" s="12">
        <v>22</v>
      </c>
      <c r="D37" s="8">
        <v>3.59</v>
      </c>
      <c r="E37" s="12">
        <v>12</v>
      </c>
      <c r="F37" s="8">
        <v>4.43</v>
      </c>
      <c r="G37" s="12">
        <v>10</v>
      </c>
      <c r="H37" s="8">
        <v>2.96</v>
      </c>
      <c r="I37" s="12">
        <v>0</v>
      </c>
    </row>
    <row r="38" spans="2:9" ht="15" customHeight="1" x14ac:dyDescent="0.15">
      <c r="B38" t="s">
        <v>91</v>
      </c>
      <c r="C38" s="12">
        <v>20</v>
      </c>
      <c r="D38" s="8">
        <v>3.26</v>
      </c>
      <c r="E38" s="12">
        <v>14</v>
      </c>
      <c r="F38" s="8">
        <v>5.17</v>
      </c>
      <c r="G38" s="12">
        <v>6</v>
      </c>
      <c r="H38" s="8">
        <v>1.78</v>
      </c>
      <c r="I38" s="12">
        <v>0</v>
      </c>
    </row>
    <row r="39" spans="2:9" ht="15" customHeight="1" x14ac:dyDescent="0.15">
      <c r="B39" t="s">
        <v>97</v>
      </c>
      <c r="C39" s="12">
        <v>19</v>
      </c>
      <c r="D39" s="8">
        <v>3.1</v>
      </c>
      <c r="E39" s="12">
        <v>5</v>
      </c>
      <c r="F39" s="8">
        <v>1.85</v>
      </c>
      <c r="G39" s="12">
        <v>14</v>
      </c>
      <c r="H39" s="8">
        <v>4.1399999999999997</v>
      </c>
      <c r="I39" s="12">
        <v>0</v>
      </c>
    </row>
    <row r="40" spans="2:9" ht="15" customHeight="1" x14ac:dyDescent="0.15">
      <c r="B40" t="s">
        <v>102</v>
      </c>
      <c r="C40" s="12">
        <v>17</v>
      </c>
      <c r="D40" s="8">
        <v>2.77</v>
      </c>
      <c r="E40" s="12">
        <v>11</v>
      </c>
      <c r="F40" s="8">
        <v>4.0599999999999996</v>
      </c>
      <c r="G40" s="12">
        <v>6</v>
      </c>
      <c r="H40" s="8">
        <v>1.78</v>
      </c>
      <c r="I40" s="12">
        <v>0</v>
      </c>
    </row>
    <row r="41" spans="2:9" ht="15" customHeight="1" x14ac:dyDescent="0.15">
      <c r="B41" t="s">
        <v>103</v>
      </c>
      <c r="C41" s="12">
        <v>17</v>
      </c>
      <c r="D41" s="8">
        <v>2.77</v>
      </c>
      <c r="E41" s="12">
        <v>11</v>
      </c>
      <c r="F41" s="8">
        <v>4.0599999999999996</v>
      </c>
      <c r="G41" s="12">
        <v>6</v>
      </c>
      <c r="H41" s="8">
        <v>1.78</v>
      </c>
      <c r="I41" s="12">
        <v>0</v>
      </c>
    </row>
    <row r="42" spans="2:9" ht="15" customHeight="1" x14ac:dyDescent="0.15">
      <c r="B42" t="s">
        <v>95</v>
      </c>
      <c r="C42" s="12">
        <v>16</v>
      </c>
      <c r="D42" s="8">
        <v>2.61</v>
      </c>
      <c r="E42" s="12">
        <v>2</v>
      </c>
      <c r="F42" s="8">
        <v>0.74</v>
      </c>
      <c r="G42" s="12">
        <v>14</v>
      </c>
      <c r="H42" s="8">
        <v>4.1399999999999997</v>
      </c>
      <c r="I42" s="12">
        <v>0</v>
      </c>
    </row>
    <row r="43" spans="2:9" ht="15" customHeight="1" x14ac:dyDescent="0.15">
      <c r="B43" t="s">
        <v>87</v>
      </c>
      <c r="C43" s="12">
        <v>14</v>
      </c>
      <c r="D43" s="8">
        <v>2.2799999999999998</v>
      </c>
      <c r="E43" s="12">
        <v>0</v>
      </c>
      <c r="F43" s="8">
        <v>0</v>
      </c>
      <c r="G43" s="12">
        <v>14</v>
      </c>
      <c r="H43" s="8">
        <v>4.1399999999999997</v>
      </c>
      <c r="I43" s="12">
        <v>0</v>
      </c>
    </row>
    <row r="44" spans="2:9" ht="15" customHeight="1" x14ac:dyDescent="0.15">
      <c r="B44" t="s">
        <v>116</v>
      </c>
      <c r="C44" s="12">
        <v>14</v>
      </c>
      <c r="D44" s="8">
        <v>2.2799999999999998</v>
      </c>
      <c r="E44" s="12">
        <v>3</v>
      </c>
      <c r="F44" s="8">
        <v>1.1100000000000001</v>
      </c>
      <c r="G44" s="12">
        <v>11</v>
      </c>
      <c r="H44" s="8">
        <v>3.25</v>
      </c>
      <c r="I44" s="12">
        <v>0</v>
      </c>
    </row>
    <row r="45" spans="2:9" ht="15" customHeight="1" x14ac:dyDescent="0.15">
      <c r="B45" t="s">
        <v>118</v>
      </c>
      <c r="C45" s="12">
        <v>10</v>
      </c>
      <c r="D45" s="8">
        <v>1.63</v>
      </c>
      <c r="E45" s="12">
        <v>1</v>
      </c>
      <c r="F45" s="8">
        <v>0.37</v>
      </c>
      <c r="G45" s="12">
        <v>9</v>
      </c>
      <c r="H45" s="8">
        <v>2.66</v>
      </c>
      <c r="I45" s="12">
        <v>0</v>
      </c>
    </row>
    <row r="46" spans="2:9" ht="15" customHeight="1" x14ac:dyDescent="0.15">
      <c r="B46" t="s">
        <v>101</v>
      </c>
      <c r="C46" s="12">
        <v>9</v>
      </c>
      <c r="D46" s="8">
        <v>1.47</v>
      </c>
      <c r="E46" s="12">
        <v>5</v>
      </c>
      <c r="F46" s="8">
        <v>1.85</v>
      </c>
      <c r="G46" s="12">
        <v>4</v>
      </c>
      <c r="H46" s="8">
        <v>1.18</v>
      </c>
      <c r="I46" s="12">
        <v>0</v>
      </c>
    </row>
    <row r="47" spans="2:9" ht="15" customHeight="1" x14ac:dyDescent="0.15">
      <c r="B47" t="s">
        <v>109</v>
      </c>
      <c r="C47" s="12">
        <v>8</v>
      </c>
      <c r="D47" s="8">
        <v>1.31</v>
      </c>
      <c r="E47" s="12">
        <v>0</v>
      </c>
      <c r="F47" s="8">
        <v>0</v>
      </c>
      <c r="G47" s="12">
        <v>8</v>
      </c>
      <c r="H47" s="8">
        <v>2.37</v>
      </c>
      <c r="I47" s="12">
        <v>0</v>
      </c>
    </row>
    <row r="48" spans="2:9" ht="15" customHeight="1" x14ac:dyDescent="0.15">
      <c r="B48" t="s">
        <v>105</v>
      </c>
      <c r="C48" s="12">
        <v>8</v>
      </c>
      <c r="D48" s="8">
        <v>1.31</v>
      </c>
      <c r="E48" s="12">
        <v>2</v>
      </c>
      <c r="F48" s="8">
        <v>0.74</v>
      </c>
      <c r="G48" s="12">
        <v>6</v>
      </c>
      <c r="H48" s="8">
        <v>1.78</v>
      </c>
      <c r="I48" s="12">
        <v>0</v>
      </c>
    </row>
    <row r="49" spans="2:9" ht="15" customHeight="1" x14ac:dyDescent="0.15">
      <c r="B49" t="s">
        <v>104</v>
      </c>
      <c r="C49" s="12">
        <v>8</v>
      </c>
      <c r="D49" s="8">
        <v>1.31</v>
      </c>
      <c r="E49" s="12">
        <v>0</v>
      </c>
      <c r="F49" s="8">
        <v>0</v>
      </c>
      <c r="G49" s="12">
        <v>8</v>
      </c>
      <c r="H49" s="8">
        <v>2.37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150</v>
      </c>
      <c r="C53" s="12">
        <v>37</v>
      </c>
      <c r="D53" s="8">
        <v>6.04</v>
      </c>
      <c r="E53" s="12">
        <v>24</v>
      </c>
      <c r="F53" s="8">
        <v>8.86</v>
      </c>
      <c r="G53" s="12">
        <v>13</v>
      </c>
      <c r="H53" s="8">
        <v>3.85</v>
      </c>
      <c r="I53" s="12">
        <v>0</v>
      </c>
    </row>
    <row r="54" spans="2:9" ht="15" customHeight="1" x14ac:dyDescent="0.15">
      <c r="B54" t="s">
        <v>155</v>
      </c>
      <c r="C54" s="12">
        <v>26</v>
      </c>
      <c r="D54" s="8">
        <v>4.24</v>
      </c>
      <c r="E54" s="12">
        <v>22</v>
      </c>
      <c r="F54" s="8">
        <v>8.1199999999999992</v>
      </c>
      <c r="G54" s="12">
        <v>4</v>
      </c>
      <c r="H54" s="8">
        <v>1.18</v>
      </c>
      <c r="I54" s="12">
        <v>0</v>
      </c>
    </row>
    <row r="55" spans="2:9" ht="15" customHeight="1" x14ac:dyDescent="0.15">
      <c r="B55" t="s">
        <v>145</v>
      </c>
      <c r="C55" s="12">
        <v>20</v>
      </c>
      <c r="D55" s="8">
        <v>3.26</v>
      </c>
      <c r="E55" s="12">
        <v>15</v>
      </c>
      <c r="F55" s="8">
        <v>5.54</v>
      </c>
      <c r="G55" s="12">
        <v>5</v>
      </c>
      <c r="H55" s="8">
        <v>1.48</v>
      </c>
      <c r="I55" s="12">
        <v>0</v>
      </c>
    </row>
    <row r="56" spans="2:9" ht="15" customHeight="1" x14ac:dyDescent="0.15">
      <c r="B56" t="s">
        <v>148</v>
      </c>
      <c r="C56" s="12">
        <v>20</v>
      </c>
      <c r="D56" s="8">
        <v>3.26</v>
      </c>
      <c r="E56" s="12">
        <v>2</v>
      </c>
      <c r="F56" s="8">
        <v>0.74</v>
      </c>
      <c r="G56" s="12">
        <v>18</v>
      </c>
      <c r="H56" s="8">
        <v>5.33</v>
      </c>
      <c r="I56" s="12">
        <v>0</v>
      </c>
    </row>
    <row r="57" spans="2:9" ht="15" customHeight="1" x14ac:dyDescent="0.15">
      <c r="B57" t="s">
        <v>174</v>
      </c>
      <c r="C57" s="12">
        <v>17</v>
      </c>
      <c r="D57" s="8">
        <v>2.77</v>
      </c>
      <c r="E57" s="12">
        <v>4</v>
      </c>
      <c r="F57" s="8">
        <v>1.48</v>
      </c>
      <c r="G57" s="12">
        <v>13</v>
      </c>
      <c r="H57" s="8">
        <v>3.85</v>
      </c>
      <c r="I57" s="12">
        <v>0</v>
      </c>
    </row>
    <row r="58" spans="2:9" ht="15" customHeight="1" x14ac:dyDescent="0.15">
      <c r="B58" t="s">
        <v>139</v>
      </c>
      <c r="C58" s="12">
        <v>16</v>
      </c>
      <c r="D58" s="8">
        <v>2.61</v>
      </c>
      <c r="E58" s="12">
        <v>4</v>
      </c>
      <c r="F58" s="8">
        <v>1.48</v>
      </c>
      <c r="G58" s="12">
        <v>12</v>
      </c>
      <c r="H58" s="8">
        <v>3.55</v>
      </c>
      <c r="I58" s="12">
        <v>0</v>
      </c>
    </row>
    <row r="59" spans="2:9" ht="15" customHeight="1" x14ac:dyDescent="0.15">
      <c r="B59" t="s">
        <v>144</v>
      </c>
      <c r="C59" s="12">
        <v>15</v>
      </c>
      <c r="D59" s="8">
        <v>2.4500000000000002</v>
      </c>
      <c r="E59" s="12">
        <v>3</v>
      </c>
      <c r="F59" s="8">
        <v>1.1100000000000001</v>
      </c>
      <c r="G59" s="12">
        <v>12</v>
      </c>
      <c r="H59" s="8">
        <v>3.55</v>
      </c>
      <c r="I59" s="12">
        <v>0</v>
      </c>
    </row>
    <row r="60" spans="2:9" ht="15" customHeight="1" x14ac:dyDescent="0.15">
      <c r="B60" t="s">
        <v>138</v>
      </c>
      <c r="C60" s="12">
        <v>14</v>
      </c>
      <c r="D60" s="8">
        <v>2.2799999999999998</v>
      </c>
      <c r="E60" s="12">
        <v>1</v>
      </c>
      <c r="F60" s="8">
        <v>0.37</v>
      </c>
      <c r="G60" s="12">
        <v>13</v>
      </c>
      <c r="H60" s="8">
        <v>3.85</v>
      </c>
      <c r="I60" s="12">
        <v>0</v>
      </c>
    </row>
    <row r="61" spans="2:9" ht="15" customHeight="1" x14ac:dyDescent="0.15">
      <c r="B61" t="s">
        <v>146</v>
      </c>
      <c r="C61" s="12">
        <v>14</v>
      </c>
      <c r="D61" s="8">
        <v>2.2799999999999998</v>
      </c>
      <c r="E61" s="12">
        <v>2</v>
      </c>
      <c r="F61" s="8">
        <v>0.74</v>
      </c>
      <c r="G61" s="12">
        <v>12</v>
      </c>
      <c r="H61" s="8">
        <v>3.55</v>
      </c>
      <c r="I61" s="12">
        <v>0</v>
      </c>
    </row>
    <row r="62" spans="2:9" ht="15" customHeight="1" x14ac:dyDescent="0.15">
      <c r="B62" t="s">
        <v>159</v>
      </c>
      <c r="C62" s="12">
        <v>14</v>
      </c>
      <c r="D62" s="8">
        <v>2.2799999999999998</v>
      </c>
      <c r="E62" s="12">
        <v>9</v>
      </c>
      <c r="F62" s="8">
        <v>3.32</v>
      </c>
      <c r="G62" s="12">
        <v>5</v>
      </c>
      <c r="H62" s="8">
        <v>1.48</v>
      </c>
      <c r="I62" s="12">
        <v>0</v>
      </c>
    </row>
    <row r="63" spans="2:9" ht="15" customHeight="1" x14ac:dyDescent="0.15">
      <c r="B63" t="s">
        <v>149</v>
      </c>
      <c r="C63" s="12">
        <v>13</v>
      </c>
      <c r="D63" s="8">
        <v>2.12</v>
      </c>
      <c r="E63" s="12">
        <v>0</v>
      </c>
      <c r="F63" s="8">
        <v>0</v>
      </c>
      <c r="G63" s="12">
        <v>13</v>
      </c>
      <c r="H63" s="8">
        <v>3.85</v>
      </c>
      <c r="I63" s="12">
        <v>0</v>
      </c>
    </row>
    <row r="64" spans="2:9" ht="15" customHeight="1" x14ac:dyDescent="0.15">
      <c r="B64" t="s">
        <v>157</v>
      </c>
      <c r="C64" s="12">
        <v>13</v>
      </c>
      <c r="D64" s="8">
        <v>2.12</v>
      </c>
      <c r="E64" s="12">
        <v>8</v>
      </c>
      <c r="F64" s="8">
        <v>2.95</v>
      </c>
      <c r="G64" s="12">
        <v>5</v>
      </c>
      <c r="H64" s="8">
        <v>1.48</v>
      </c>
      <c r="I64" s="12">
        <v>0</v>
      </c>
    </row>
    <row r="65" spans="2:9" ht="15" customHeight="1" x14ac:dyDescent="0.15">
      <c r="B65" t="s">
        <v>166</v>
      </c>
      <c r="C65" s="12">
        <v>12</v>
      </c>
      <c r="D65" s="8">
        <v>1.96</v>
      </c>
      <c r="E65" s="12">
        <v>10</v>
      </c>
      <c r="F65" s="8">
        <v>3.69</v>
      </c>
      <c r="G65" s="12">
        <v>2</v>
      </c>
      <c r="H65" s="8">
        <v>0.59</v>
      </c>
      <c r="I65" s="12">
        <v>0</v>
      </c>
    </row>
    <row r="66" spans="2:9" ht="15" customHeight="1" x14ac:dyDescent="0.15">
      <c r="B66" t="s">
        <v>154</v>
      </c>
      <c r="C66" s="12">
        <v>11</v>
      </c>
      <c r="D66" s="8">
        <v>1.79</v>
      </c>
      <c r="E66" s="12">
        <v>11</v>
      </c>
      <c r="F66" s="8">
        <v>4.0599999999999996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142</v>
      </c>
      <c r="C67" s="12">
        <v>10</v>
      </c>
      <c r="D67" s="8">
        <v>1.63</v>
      </c>
      <c r="E67" s="12">
        <v>7</v>
      </c>
      <c r="F67" s="8">
        <v>2.58</v>
      </c>
      <c r="G67" s="12">
        <v>3</v>
      </c>
      <c r="H67" s="8">
        <v>0.89</v>
      </c>
      <c r="I67" s="12">
        <v>0</v>
      </c>
    </row>
    <row r="68" spans="2:9" ht="15" customHeight="1" x14ac:dyDescent="0.15">
      <c r="B68" t="s">
        <v>183</v>
      </c>
      <c r="C68" s="12">
        <v>10</v>
      </c>
      <c r="D68" s="8">
        <v>1.63</v>
      </c>
      <c r="E68" s="12">
        <v>7</v>
      </c>
      <c r="F68" s="8">
        <v>2.58</v>
      </c>
      <c r="G68" s="12">
        <v>3</v>
      </c>
      <c r="H68" s="8">
        <v>0.89</v>
      </c>
      <c r="I68" s="12">
        <v>0</v>
      </c>
    </row>
    <row r="69" spans="2:9" ht="15" customHeight="1" x14ac:dyDescent="0.15">
      <c r="B69" t="s">
        <v>188</v>
      </c>
      <c r="C69" s="12">
        <v>10</v>
      </c>
      <c r="D69" s="8">
        <v>1.63</v>
      </c>
      <c r="E69" s="12">
        <v>3</v>
      </c>
      <c r="F69" s="8">
        <v>1.1100000000000001</v>
      </c>
      <c r="G69" s="12">
        <v>7</v>
      </c>
      <c r="H69" s="8">
        <v>2.0699999999999998</v>
      </c>
      <c r="I69" s="12">
        <v>0</v>
      </c>
    </row>
    <row r="70" spans="2:9" ht="15" customHeight="1" x14ac:dyDescent="0.15">
      <c r="B70" t="s">
        <v>160</v>
      </c>
      <c r="C70" s="12">
        <v>9</v>
      </c>
      <c r="D70" s="8">
        <v>1.47</v>
      </c>
      <c r="E70" s="12">
        <v>7</v>
      </c>
      <c r="F70" s="8">
        <v>2.58</v>
      </c>
      <c r="G70" s="12">
        <v>2</v>
      </c>
      <c r="H70" s="8">
        <v>0.59</v>
      </c>
      <c r="I70" s="12">
        <v>0</v>
      </c>
    </row>
    <row r="71" spans="2:9" ht="15" customHeight="1" x14ac:dyDescent="0.15">
      <c r="B71" t="s">
        <v>192</v>
      </c>
      <c r="C71" s="12">
        <v>9</v>
      </c>
      <c r="D71" s="8">
        <v>1.47</v>
      </c>
      <c r="E71" s="12">
        <v>7</v>
      </c>
      <c r="F71" s="8">
        <v>2.58</v>
      </c>
      <c r="G71" s="12">
        <v>2</v>
      </c>
      <c r="H71" s="8">
        <v>0.59</v>
      </c>
      <c r="I71" s="12">
        <v>0</v>
      </c>
    </row>
    <row r="72" spans="2:9" ht="15" customHeight="1" x14ac:dyDescent="0.15">
      <c r="B72" t="s">
        <v>191</v>
      </c>
      <c r="C72" s="12">
        <v>8</v>
      </c>
      <c r="D72" s="8">
        <v>1.31</v>
      </c>
      <c r="E72" s="12">
        <v>7</v>
      </c>
      <c r="F72" s="8">
        <v>2.58</v>
      </c>
      <c r="G72" s="12">
        <v>1</v>
      </c>
      <c r="H72" s="8">
        <v>0.3</v>
      </c>
      <c r="I72" s="12">
        <v>0</v>
      </c>
    </row>
    <row r="73" spans="2:9" ht="15" customHeight="1" x14ac:dyDescent="0.15">
      <c r="B73" t="s">
        <v>141</v>
      </c>
      <c r="C73" s="12">
        <v>8</v>
      </c>
      <c r="D73" s="8">
        <v>1.31</v>
      </c>
      <c r="E73" s="12">
        <v>0</v>
      </c>
      <c r="F73" s="8">
        <v>0</v>
      </c>
      <c r="G73" s="12">
        <v>8</v>
      </c>
      <c r="H73" s="8">
        <v>2.37</v>
      </c>
      <c r="I73" s="12">
        <v>0</v>
      </c>
    </row>
    <row r="74" spans="2:9" ht="15" customHeight="1" x14ac:dyDescent="0.15">
      <c r="B74" t="s">
        <v>143</v>
      </c>
      <c r="C74" s="12">
        <v>8</v>
      </c>
      <c r="D74" s="8">
        <v>1.31</v>
      </c>
      <c r="E74" s="12">
        <v>3</v>
      </c>
      <c r="F74" s="8">
        <v>1.1100000000000001</v>
      </c>
      <c r="G74" s="12">
        <v>5</v>
      </c>
      <c r="H74" s="8">
        <v>1.48</v>
      </c>
      <c r="I74" s="12">
        <v>0</v>
      </c>
    </row>
    <row r="75" spans="2:9" ht="15" customHeight="1" x14ac:dyDescent="0.15">
      <c r="B75" t="s">
        <v>182</v>
      </c>
      <c r="C75" s="12">
        <v>8</v>
      </c>
      <c r="D75" s="8">
        <v>1.31</v>
      </c>
      <c r="E75" s="12">
        <v>1</v>
      </c>
      <c r="F75" s="8">
        <v>0.37</v>
      </c>
      <c r="G75" s="12">
        <v>7</v>
      </c>
      <c r="H75" s="8">
        <v>2.0699999999999998</v>
      </c>
      <c r="I75" s="12">
        <v>0</v>
      </c>
    </row>
    <row r="76" spans="2:9" ht="15" customHeight="1" x14ac:dyDescent="0.15">
      <c r="B76" t="s">
        <v>156</v>
      </c>
      <c r="C76" s="12">
        <v>8</v>
      </c>
      <c r="D76" s="8">
        <v>1.31</v>
      </c>
      <c r="E76" s="12">
        <v>5</v>
      </c>
      <c r="F76" s="8">
        <v>1.85</v>
      </c>
      <c r="G76" s="12">
        <v>3</v>
      </c>
      <c r="H76" s="8">
        <v>0.89</v>
      </c>
      <c r="I76" s="12">
        <v>0</v>
      </c>
    </row>
    <row r="78" spans="2:9" ht="15" customHeight="1" x14ac:dyDescent="0.15">
      <c r="B78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190</v>
      </c>
      <c r="D6" s="8">
        <v>17.27</v>
      </c>
      <c r="E6" s="12">
        <v>43</v>
      </c>
      <c r="F6" s="8">
        <v>7.6</v>
      </c>
      <c r="G6" s="12">
        <v>147</v>
      </c>
      <c r="H6" s="8">
        <v>27.58</v>
      </c>
      <c r="I6" s="12">
        <v>0</v>
      </c>
    </row>
    <row r="7" spans="2:9" ht="15" customHeight="1" x14ac:dyDescent="0.15">
      <c r="B7" t="s">
        <v>64</v>
      </c>
      <c r="C7" s="12">
        <v>139</v>
      </c>
      <c r="D7" s="8">
        <v>12.64</v>
      </c>
      <c r="E7" s="12">
        <v>28</v>
      </c>
      <c r="F7" s="8">
        <v>4.95</v>
      </c>
      <c r="G7" s="12">
        <v>111</v>
      </c>
      <c r="H7" s="8">
        <v>20.83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</v>
      </c>
      <c r="D9" s="8">
        <v>0.18</v>
      </c>
      <c r="E9" s="12">
        <v>0</v>
      </c>
      <c r="F9" s="8">
        <v>0</v>
      </c>
      <c r="G9" s="12">
        <v>2</v>
      </c>
      <c r="H9" s="8">
        <v>0.38</v>
      </c>
      <c r="I9" s="12">
        <v>0</v>
      </c>
    </row>
    <row r="10" spans="2:9" ht="15" customHeight="1" x14ac:dyDescent="0.15">
      <c r="B10" t="s">
        <v>67</v>
      </c>
      <c r="C10" s="12">
        <v>22</v>
      </c>
      <c r="D10" s="8">
        <v>2</v>
      </c>
      <c r="E10" s="12">
        <v>8</v>
      </c>
      <c r="F10" s="8">
        <v>1.41</v>
      </c>
      <c r="G10" s="12">
        <v>14</v>
      </c>
      <c r="H10" s="8">
        <v>2.63</v>
      </c>
      <c r="I10" s="12">
        <v>0</v>
      </c>
    </row>
    <row r="11" spans="2:9" ht="15" customHeight="1" x14ac:dyDescent="0.15">
      <c r="B11" t="s">
        <v>68</v>
      </c>
      <c r="C11" s="12">
        <v>203</v>
      </c>
      <c r="D11" s="8">
        <v>18.45</v>
      </c>
      <c r="E11" s="12">
        <v>103</v>
      </c>
      <c r="F11" s="8">
        <v>18.2</v>
      </c>
      <c r="G11" s="12">
        <v>100</v>
      </c>
      <c r="H11" s="8">
        <v>18.760000000000002</v>
      </c>
      <c r="I11" s="12">
        <v>0</v>
      </c>
    </row>
    <row r="12" spans="2:9" ht="15" customHeight="1" x14ac:dyDescent="0.15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70</v>
      </c>
      <c r="C13" s="12">
        <v>176</v>
      </c>
      <c r="D13" s="8">
        <v>16</v>
      </c>
      <c r="E13" s="12">
        <v>108</v>
      </c>
      <c r="F13" s="8">
        <v>19.079999999999998</v>
      </c>
      <c r="G13" s="12">
        <v>68</v>
      </c>
      <c r="H13" s="8">
        <v>12.76</v>
      </c>
      <c r="I13" s="12">
        <v>0</v>
      </c>
    </row>
    <row r="14" spans="2:9" ht="15" customHeight="1" x14ac:dyDescent="0.15">
      <c r="B14" t="s">
        <v>71</v>
      </c>
      <c r="C14" s="12">
        <v>28</v>
      </c>
      <c r="D14" s="8">
        <v>2.5499999999999998</v>
      </c>
      <c r="E14" s="12">
        <v>14</v>
      </c>
      <c r="F14" s="8">
        <v>2.4700000000000002</v>
      </c>
      <c r="G14" s="12">
        <v>14</v>
      </c>
      <c r="H14" s="8">
        <v>2.63</v>
      </c>
      <c r="I14" s="12">
        <v>0</v>
      </c>
    </row>
    <row r="15" spans="2:9" ht="15" customHeight="1" x14ac:dyDescent="0.15">
      <c r="B15" t="s">
        <v>72</v>
      </c>
      <c r="C15" s="12">
        <v>106</v>
      </c>
      <c r="D15" s="8">
        <v>9.64</v>
      </c>
      <c r="E15" s="12">
        <v>89</v>
      </c>
      <c r="F15" s="8">
        <v>15.72</v>
      </c>
      <c r="G15" s="12">
        <v>17</v>
      </c>
      <c r="H15" s="8">
        <v>3.19</v>
      </c>
      <c r="I15" s="12">
        <v>0</v>
      </c>
    </row>
    <row r="16" spans="2:9" ht="15" customHeight="1" x14ac:dyDescent="0.15">
      <c r="B16" t="s">
        <v>73</v>
      </c>
      <c r="C16" s="12">
        <v>104</v>
      </c>
      <c r="D16" s="8">
        <v>9.4499999999999993</v>
      </c>
      <c r="E16" s="12">
        <v>84</v>
      </c>
      <c r="F16" s="8">
        <v>14.84</v>
      </c>
      <c r="G16" s="12">
        <v>20</v>
      </c>
      <c r="H16" s="8">
        <v>3.75</v>
      </c>
      <c r="I16" s="12">
        <v>0</v>
      </c>
    </row>
    <row r="17" spans="2:9" ht="15" customHeight="1" x14ac:dyDescent="0.15">
      <c r="B17" t="s">
        <v>74</v>
      </c>
      <c r="C17" s="12">
        <v>47</v>
      </c>
      <c r="D17" s="8">
        <v>4.2699999999999996</v>
      </c>
      <c r="E17" s="12">
        <v>38</v>
      </c>
      <c r="F17" s="8">
        <v>6.71</v>
      </c>
      <c r="G17" s="12">
        <v>9</v>
      </c>
      <c r="H17" s="8">
        <v>1.69</v>
      </c>
      <c r="I17" s="12">
        <v>0</v>
      </c>
    </row>
    <row r="18" spans="2:9" ht="15" customHeight="1" x14ac:dyDescent="0.15">
      <c r="B18" t="s">
        <v>75</v>
      </c>
      <c r="C18" s="12">
        <v>39</v>
      </c>
      <c r="D18" s="8">
        <v>3.55</v>
      </c>
      <c r="E18" s="12">
        <v>33</v>
      </c>
      <c r="F18" s="8">
        <v>5.83</v>
      </c>
      <c r="G18" s="12">
        <v>5</v>
      </c>
      <c r="H18" s="8">
        <v>0.94</v>
      </c>
      <c r="I18" s="12">
        <v>1</v>
      </c>
    </row>
    <row r="19" spans="2:9" ht="15" customHeight="1" x14ac:dyDescent="0.15">
      <c r="B19" t="s">
        <v>76</v>
      </c>
      <c r="C19" s="12">
        <v>44</v>
      </c>
      <c r="D19" s="8">
        <v>4</v>
      </c>
      <c r="E19" s="12">
        <v>18</v>
      </c>
      <c r="F19" s="8">
        <v>3.18</v>
      </c>
      <c r="G19" s="12">
        <v>26</v>
      </c>
      <c r="H19" s="8">
        <v>4.88</v>
      </c>
      <c r="I19" s="12">
        <v>0</v>
      </c>
    </row>
    <row r="20" spans="2:9" ht="15" customHeight="1" x14ac:dyDescent="0.15">
      <c r="B20" s="9" t="s">
        <v>216</v>
      </c>
      <c r="C20" s="12">
        <f>SUM(LTBL_14321[総数／事業所数])</f>
        <v>1100</v>
      </c>
      <c r="E20" s="12">
        <f>SUBTOTAL(109,LTBL_14321[個人／事業所数])</f>
        <v>566</v>
      </c>
      <c r="G20" s="12">
        <f>SUBTOTAL(109,LTBL_14321[法人／事業所数])</f>
        <v>533</v>
      </c>
      <c r="I20" s="12">
        <f>SUBTOTAL(109,LTBL_14321[法人以外の団体／事業所数])</f>
        <v>1</v>
      </c>
    </row>
    <row r="21" spans="2:9" ht="15" customHeight="1" x14ac:dyDescent="0.15">
      <c r="E21" s="11">
        <f>LTBL_14321[[#Totals],[個人／事業所数]]/LTBL_14321[[#Totals],[総数／事業所数]]</f>
        <v>0.51454545454545453</v>
      </c>
      <c r="G21" s="11">
        <f>LTBL_14321[[#Totals],[法人／事業所数]]/LTBL_14321[[#Totals],[総数／事業所数]]</f>
        <v>0.48454545454545456</v>
      </c>
      <c r="I21" s="11">
        <f>LTBL_14321[[#Totals],[法人以外の団体／事業所数]]/LTBL_14321[[#Totals],[総数／事業所数]]</f>
        <v>9.0909090909090909E-4</v>
      </c>
    </row>
    <row r="23" spans="2:9" ht="33" customHeight="1" x14ac:dyDescent="0.15">
      <c r="B23" t="s">
        <v>215</v>
      </c>
      <c r="C23" s="10" t="s">
        <v>78</v>
      </c>
      <c r="D23" s="10" t="s">
        <v>397</v>
      </c>
      <c r="E23" s="10" t="s">
        <v>80</v>
      </c>
      <c r="F23" s="10" t="s">
        <v>252</v>
      </c>
      <c r="G23" s="10" t="s">
        <v>82</v>
      </c>
      <c r="H23" s="10" t="s">
        <v>224</v>
      </c>
      <c r="I23" s="10" t="s">
        <v>84</v>
      </c>
    </row>
    <row r="24" spans="2:9" ht="15" customHeight="1" x14ac:dyDescent="0.15">
      <c r="B24" t="s">
        <v>218</v>
      </c>
      <c r="C24">
        <v>2</v>
      </c>
      <c r="D24" t="s">
        <v>217</v>
      </c>
      <c r="E24">
        <v>0</v>
      </c>
      <c r="F24" t="s">
        <v>219</v>
      </c>
      <c r="G24">
        <v>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159</v>
      </c>
      <c r="D29" s="8">
        <v>14.45</v>
      </c>
      <c r="E29" s="12">
        <v>108</v>
      </c>
      <c r="F29" s="8">
        <v>19.079999999999998</v>
      </c>
      <c r="G29" s="12">
        <v>51</v>
      </c>
      <c r="H29" s="8">
        <v>9.57</v>
      </c>
      <c r="I29" s="12">
        <v>0</v>
      </c>
    </row>
    <row r="30" spans="2:9" ht="15" customHeight="1" x14ac:dyDescent="0.15">
      <c r="B30" t="s">
        <v>99</v>
      </c>
      <c r="C30" s="12">
        <v>97</v>
      </c>
      <c r="D30" s="8">
        <v>8.82</v>
      </c>
      <c r="E30" s="12">
        <v>84</v>
      </c>
      <c r="F30" s="8">
        <v>14.84</v>
      </c>
      <c r="G30" s="12">
        <v>13</v>
      </c>
      <c r="H30" s="8">
        <v>2.44</v>
      </c>
      <c r="I30" s="12">
        <v>0</v>
      </c>
    </row>
    <row r="31" spans="2:9" ht="15" customHeight="1" x14ac:dyDescent="0.15">
      <c r="B31" t="s">
        <v>100</v>
      </c>
      <c r="C31" s="12">
        <v>86</v>
      </c>
      <c r="D31" s="8">
        <v>7.82</v>
      </c>
      <c r="E31" s="12">
        <v>72</v>
      </c>
      <c r="F31" s="8">
        <v>12.72</v>
      </c>
      <c r="G31" s="12">
        <v>14</v>
      </c>
      <c r="H31" s="8">
        <v>2.63</v>
      </c>
      <c r="I31" s="12">
        <v>0</v>
      </c>
    </row>
    <row r="32" spans="2:9" ht="15" customHeight="1" x14ac:dyDescent="0.15">
      <c r="B32" t="s">
        <v>85</v>
      </c>
      <c r="C32" s="12">
        <v>83</v>
      </c>
      <c r="D32" s="8">
        <v>7.55</v>
      </c>
      <c r="E32" s="12">
        <v>14</v>
      </c>
      <c r="F32" s="8">
        <v>2.4700000000000002</v>
      </c>
      <c r="G32" s="12">
        <v>69</v>
      </c>
      <c r="H32" s="8">
        <v>12.95</v>
      </c>
      <c r="I32" s="12">
        <v>0</v>
      </c>
    </row>
    <row r="33" spans="2:9" ht="15" customHeight="1" x14ac:dyDescent="0.15">
      <c r="B33" t="s">
        <v>86</v>
      </c>
      <c r="C33" s="12">
        <v>67</v>
      </c>
      <c r="D33" s="8">
        <v>6.09</v>
      </c>
      <c r="E33" s="12">
        <v>23</v>
      </c>
      <c r="F33" s="8">
        <v>4.0599999999999996</v>
      </c>
      <c r="G33" s="12">
        <v>44</v>
      </c>
      <c r="H33" s="8">
        <v>8.26</v>
      </c>
      <c r="I33" s="12">
        <v>0</v>
      </c>
    </row>
    <row r="34" spans="2:9" ht="15" customHeight="1" x14ac:dyDescent="0.15">
      <c r="B34" t="s">
        <v>94</v>
      </c>
      <c r="C34" s="12">
        <v>51</v>
      </c>
      <c r="D34" s="8">
        <v>4.6399999999999997</v>
      </c>
      <c r="E34" s="12">
        <v>26</v>
      </c>
      <c r="F34" s="8">
        <v>4.59</v>
      </c>
      <c r="G34" s="12">
        <v>25</v>
      </c>
      <c r="H34" s="8">
        <v>4.6900000000000004</v>
      </c>
      <c r="I34" s="12">
        <v>0</v>
      </c>
    </row>
    <row r="35" spans="2:9" ht="15" customHeight="1" x14ac:dyDescent="0.15">
      <c r="B35" t="s">
        <v>102</v>
      </c>
      <c r="C35" s="12">
        <v>47</v>
      </c>
      <c r="D35" s="8">
        <v>4.2699999999999996</v>
      </c>
      <c r="E35" s="12">
        <v>38</v>
      </c>
      <c r="F35" s="8">
        <v>6.71</v>
      </c>
      <c r="G35" s="12">
        <v>9</v>
      </c>
      <c r="H35" s="8">
        <v>1.69</v>
      </c>
      <c r="I35" s="12">
        <v>0</v>
      </c>
    </row>
    <row r="36" spans="2:9" ht="15" customHeight="1" x14ac:dyDescent="0.15">
      <c r="B36" t="s">
        <v>93</v>
      </c>
      <c r="C36" s="12">
        <v>45</v>
      </c>
      <c r="D36" s="8">
        <v>4.09</v>
      </c>
      <c r="E36" s="12">
        <v>25</v>
      </c>
      <c r="F36" s="8">
        <v>4.42</v>
      </c>
      <c r="G36" s="12">
        <v>20</v>
      </c>
      <c r="H36" s="8">
        <v>3.75</v>
      </c>
      <c r="I36" s="12">
        <v>0</v>
      </c>
    </row>
    <row r="37" spans="2:9" ht="15" customHeight="1" x14ac:dyDescent="0.15">
      <c r="B37" t="s">
        <v>92</v>
      </c>
      <c r="C37" s="12">
        <v>43</v>
      </c>
      <c r="D37" s="8">
        <v>3.91</v>
      </c>
      <c r="E37" s="12">
        <v>35</v>
      </c>
      <c r="F37" s="8">
        <v>6.18</v>
      </c>
      <c r="G37" s="12">
        <v>8</v>
      </c>
      <c r="H37" s="8">
        <v>1.5</v>
      </c>
      <c r="I37" s="12">
        <v>0</v>
      </c>
    </row>
    <row r="38" spans="2:9" ht="15" customHeight="1" x14ac:dyDescent="0.15">
      <c r="B38" t="s">
        <v>87</v>
      </c>
      <c r="C38" s="12">
        <v>40</v>
      </c>
      <c r="D38" s="8">
        <v>3.64</v>
      </c>
      <c r="E38" s="12">
        <v>6</v>
      </c>
      <c r="F38" s="8">
        <v>1.06</v>
      </c>
      <c r="G38" s="12">
        <v>34</v>
      </c>
      <c r="H38" s="8">
        <v>6.38</v>
      </c>
      <c r="I38" s="12">
        <v>0</v>
      </c>
    </row>
    <row r="39" spans="2:9" ht="15" customHeight="1" x14ac:dyDescent="0.15">
      <c r="B39" t="s">
        <v>103</v>
      </c>
      <c r="C39" s="12">
        <v>34</v>
      </c>
      <c r="D39" s="8">
        <v>3.09</v>
      </c>
      <c r="E39" s="12">
        <v>32</v>
      </c>
      <c r="F39" s="8">
        <v>5.65</v>
      </c>
      <c r="G39" s="12">
        <v>2</v>
      </c>
      <c r="H39" s="8">
        <v>0.38</v>
      </c>
      <c r="I39" s="12">
        <v>0</v>
      </c>
    </row>
    <row r="40" spans="2:9" ht="15" customHeight="1" x14ac:dyDescent="0.15">
      <c r="B40" t="s">
        <v>89</v>
      </c>
      <c r="C40" s="12">
        <v>32</v>
      </c>
      <c r="D40" s="8">
        <v>2.91</v>
      </c>
      <c r="E40" s="12">
        <v>9</v>
      </c>
      <c r="F40" s="8">
        <v>1.59</v>
      </c>
      <c r="G40" s="12">
        <v>23</v>
      </c>
      <c r="H40" s="8">
        <v>4.32</v>
      </c>
      <c r="I40" s="12">
        <v>0</v>
      </c>
    </row>
    <row r="41" spans="2:9" ht="15" customHeight="1" x14ac:dyDescent="0.15">
      <c r="B41" t="s">
        <v>106</v>
      </c>
      <c r="C41" s="12">
        <v>26</v>
      </c>
      <c r="D41" s="8">
        <v>2.36</v>
      </c>
      <c r="E41" s="12">
        <v>5</v>
      </c>
      <c r="F41" s="8">
        <v>0.88</v>
      </c>
      <c r="G41" s="12">
        <v>21</v>
      </c>
      <c r="H41" s="8">
        <v>3.94</v>
      </c>
      <c r="I41" s="12">
        <v>0</v>
      </c>
    </row>
    <row r="42" spans="2:9" ht="15" customHeight="1" x14ac:dyDescent="0.15">
      <c r="B42" t="s">
        <v>117</v>
      </c>
      <c r="C42" s="12">
        <v>23</v>
      </c>
      <c r="D42" s="8">
        <v>2.09</v>
      </c>
      <c r="E42" s="12">
        <v>15</v>
      </c>
      <c r="F42" s="8">
        <v>2.65</v>
      </c>
      <c r="G42" s="12">
        <v>8</v>
      </c>
      <c r="H42" s="8">
        <v>1.5</v>
      </c>
      <c r="I42" s="12">
        <v>0</v>
      </c>
    </row>
    <row r="43" spans="2:9" ht="15" customHeight="1" x14ac:dyDescent="0.15">
      <c r="B43" t="s">
        <v>88</v>
      </c>
      <c r="C43" s="12">
        <v>22</v>
      </c>
      <c r="D43" s="8">
        <v>2</v>
      </c>
      <c r="E43" s="12">
        <v>6</v>
      </c>
      <c r="F43" s="8">
        <v>1.06</v>
      </c>
      <c r="G43" s="12">
        <v>16</v>
      </c>
      <c r="H43" s="8">
        <v>3</v>
      </c>
      <c r="I43" s="12">
        <v>0</v>
      </c>
    </row>
    <row r="44" spans="2:9" ht="15" customHeight="1" x14ac:dyDescent="0.15">
      <c r="B44" t="s">
        <v>98</v>
      </c>
      <c r="C44" s="12">
        <v>17</v>
      </c>
      <c r="D44" s="8">
        <v>1.55</v>
      </c>
      <c r="E44" s="12">
        <v>5</v>
      </c>
      <c r="F44" s="8">
        <v>0.88</v>
      </c>
      <c r="G44" s="12">
        <v>12</v>
      </c>
      <c r="H44" s="8">
        <v>2.25</v>
      </c>
      <c r="I44" s="12">
        <v>0</v>
      </c>
    </row>
    <row r="45" spans="2:9" ht="15" customHeight="1" x14ac:dyDescent="0.15">
      <c r="B45" t="s">
        <v>125</v>
      </c>
      <c r="C45" s="12">
        <v>14</v>
      </c>
      <c r="D45" s="8">
        <v>1.27</v>
      </c>
      <c r="E45" s="12">
        <v>4</v>
      </c>
      <c r="F45" s="8">
        <v>0.71</v>
      </c>
      <c r="G45" s="12">
        <v>10</v>
      </c>
      <c r="H45" s="8">
        <v>1.88</v>
      </c>
      <c r="I45" s="12">
        <v>0</v>
      </c>
    </row>
    <row r="46" spans="2:9" ht="15" customHeight="1" x14ac:dyDescent="0.15">
      <c r="B46" t="s">
        <v>95</v>
      </c>
      <c r="C46" s="12">
        <v>14</v>
      </c>
      <c r="D46" s="8">
        <v>1.27</v>
      </c>
      <c r="E46" s="12">
        <v>0</v>
      </c>
      <c r="F46" s="8">
        <v>0</v>
      </c>
      <c r="G46" s="12">
        <v>14</v>
      </c>
      <c r="H46" s="8">
        <v>2.63</v>
      </c>
      <c r="I46" s="12">
        <v>0</v>
      </c>
    </row>
    <row r="47" spans="2:9" ht="15" customHeight="1" x14ac:dyDescent="0.15">
      <c r="B47" t="s">
        <v>120</v>
      </c>
      <c r="C47" s="12">
        <v>13</v>
      </c>
      <c r="D47" s="8">
        <v>1.18</v>
      </c>
      <c r="E47" s="12">
        <v>0</v>
      </c>
      <c r="F47" s="8">
        <v>0</v>
      </c>
      <c r="G47" s="12">
        <v>13</v>
      </c>
      <c r="H47" s="8">
        <v>2.44</v>
      </c>
      <c r="I47" s="12">
        <v>0</v>
      </c>
    </row>
    <row r="48" spans="2:9" ht="15" customHeight="1" x14ac:dyDescent="0.15">
      <c r="B48" t="s">
        <v>101</v>
      </c>
      <c r="C48" s="12">
        <v>13</v>
      </c>
      <c r="D48" s="8">
        <v>1.18</v>
      </c>
      <c r="E48" s="12">
        <v>8</v>
      </c>
      <c r="F48" s="8">
        <v>1.41</v>
      </c>
      <c r="G48" s="12">
        <v>5</v>
      </c>
      <c r="H48" s="8">
        <v>0.94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103</v>
      </c>
      <c r="D52" s="8">
        <v>9.36</v>
      </c>
      <c r="E52" s="12">
        <v>86</v>
      </c>
      <c r="F52" s="8">
        <v>15.19</v>
      </c>
      <c r="G52" s="12">
        <v>17</v>
      </c>
      <c r="H52" s="8">
        <v>3.19</v>
      </c>
      <c r="I52" s="12">
        <v>0</v>
      </c>
    </row>
    <row r="53" spans="2:9" ht="15" customHeight="1" x14ac:dyDescent="0.15">
      <c r="B53" t="s">
        <v>155</v>
      </c>
      <c r="C53" s="12">
        <v>42</v>
      </c>
      <c r="D53" s="8">
        <v>3.82</v>
      </c>
      <c r="E53" s="12">
        <v>36</v>
      </c>
      <c r="F53" s="8">
        <v>6.36</v>
      </c>
      <c r="G53" s="12">
        <v>6</v>
      </c>
      <c r="H53" s="8">
        <v>1.1299999999999999</v>
      </c>
      <c r="I53" s="12">
        <v>0</v>
      </c>
    </row>
    <row r="54" spans="2:9" ht="15" customHeight="1" x14ac:dyDescent="0.15">
      <c r="B54" t="s">
        <v>156</v>
      </c>
      <c r="C54" s="12">
        <v>38</v>
      </c>
      <c r="D54" s="8">
        <v>3.45</v>
      </c>
      <c r="E54" s="12">
        <v>32</v>
      </c>
      <c r="F54" s="8">
        <v>5.65</v>
      </c>
      <c r="G54" s="12">
        <v>6</v>
      </c>
      <c r="H54" s="8">
        <v>1.1299999999999999</v>
      </c>
      <c r="I54" s="12">
        <v>0</v>
      </c>
    </row>
    <row r="55" spans="2:9" ht="15" customHeight="1" x14ac:dyDescent="0.15">
      <c r="B55" t="s">
        <v>144</v>
      </c>
      <c r="C55" s="12">
        <v>31</v>
      </c>
      <c r="D55" s="8">
        <v>2.82</v>
      </c>
      <c r="E55" s="12">
        <v>14</v>
      </c>
      <c r="F55" s="8">
        <v>2.4700000000000002</v>
      </c>
      <c r="G55" s="12">
        <v>17</v>
      </c>
      <c r="H55" s="8">
        <v>3.19</v>
      </c>
      <c r="I55" s="12">
        <v>0</v>
      </c>
    </row>
    <row r="56" spans="2:9" ht="15" customHeight="1" x14ac:dyDescent="0.15">
      <c r="B56" t="s">
        <v>147</v>
      </c>
      <c r="C56" s="12">
        <v>31</v>
      </c>
      <c r="D56" s="8">
        <v>2.82</v>
      </c>
      <c r="E56" s="12">
        <v>16</v>
      </c>
      <c r="F56" s="8">
        <v>2.83</v>
      </c>
      <c r="G56" s="12">
        <v>15</v>
      </c>
      <c r="H56" s="8">
        <v>2.81</v>
      </c>
      <c r="I56" s="12">
        <v>0</v>
      </c>
    </row>
    <row r="57" spans="2:9" ht="15" customHeight="1" x14ac:dyDescent="0.15">
      <c r="B57" t="s">
        <v>154</v>
      </c>
      <c r="C57" s="12">
        <v>31</v>
      </c>
      <c r="D57" s="8">
        <v>2.82</v>
      </c>
      <c r="E57" s="12">
        <v>31</v>
      </c>
      <c r="F57" s="8">
        <v>5.48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157</v>
      </c>
      <c r="C58" s="12">
        <v>28</v>
      </c>
      <c r="D58" s="8">
        <v>2.5499999999999998</v>
      </c>
      <c r="E58" s="12">
        <v>26</v>
      </c>
      <c r="F58" s="8">
        <v>4.59</v>
      </c>
      <c r="G58" s="12">
        <v>2</v>
      </c>
      <c r="H58" s="8">
        <v>0.38</v>
      </c>
      <c r="I58" s="12">
        <v>0</v>
      </c>
    </row>
    <row r="59" spans="2:9" ht="15" customHeight="1" x14ac:dyDescent="0.15">
      <c r="B59" t="s">
        <v>174</v>
      </c>
      <c r="C59" s="12">
        <v>26</v>
      </c>
      <c r="D59" s="8">
        <v>2.36</v>
      </c>
      <c r="E59" s="12">
        <v>9</v>
      </c>
      <c r="F59" s="8">
        <v>1.59</v>
      </c>
      <c r="G59" s="12">
        <v>17</v>
      </c>
      <c r="H59" s="8">
        <v>3.19</v>
      </c>
      <c r="I59" s="12">
        <v>0</v>
      </c>
    </row>
    <row r="60" spans="2:9" ht="15" customHeight="1" x14ac:dyDescent="0.15">
      <c r="B60" t="s">
        <v>151</v>
      </c>
      <c r="C60" s="12">
        <v>26</v>
      </c>
      <c r="D60" s="8">
        <v>2.36</v>
      </c>
      <c r="E60" s="12">
        <v>26</v>
      </c>
      <c r="F60" s="8">
        <v>4.59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150</v>
      </c>
      <c r="C61" s="12">
        <v>24</v>
      </c>
      <c r="D61" s="8">
        <v>2.1800000000000002</v>
      </c>
      <c r="E61" s="12">
        <v>20</v>
      </c>
      <c r="F61" s="8">
        <v>3.53</v>
      </c>
      <c r="G61" s="12">
        <v>4</v>
      </c>
      <c r="H61" s="8">
        <v>0.75</v>
      </c>
      <c r="I61" s="12">
        <v>0</v>
      </c>
    </row>
    <row r="62" spans="2:9" ht="15" customHeight="1" x14ac:dyDescent="0.15">
      <c r="B62" t="s">
        <v>181</v>
      </c>
      <c r="C62" s="12">
        <v>23</v>
      </c>
      <c r="D62" s="8">
        <v>2.09</v>
      </c>
      <c r="E62" s="12">
        <v>15</v>
      </c>
      <c r="F62" s="8">
        <v>2.65</v>
      </c>
      <c r="G62" s="12">
        <v>8</v>
      </c>
      <c r="H62" s="8">
        <v>1.5</v>
      </c>
      <c r="I62" s="12">
        <v>0</v>
      </c>
    </row>
    <row r="63" spans="2:9" ht="15" customHeight="1" x14ac:dyDescent="0.15">
      <c r="B63" t="s">
        <v>139</v>
      </c>
      <c r="C63" s="12">
        <v>21</v>
      </c>
      <c r="D63" s="8">
        <v>1.91</v>
      </c>
      <c r="E63" s="12">
        <v>4</v>
      </c>
      <c r="F63" s="8">
        <v>0.71</v>
      </c>
      <c r="G63" s="12">
        <v>17</v>
      </c>
      <c r="H63" s="8">
        <v>3.19</v>
      </c>
      <c r="I63" s="12">
        <v>0</v>
      </c>
    </row>
    <row r="64" spans="2:9" ht="15" customHeight="1" x14ac:dyDescent="0.15">
      <c r="B64" t="s">
        <v>145</v>
      </c>
      <c r="C64" s="12">
        <v>21</v>
      </c>
      <c r="D64" s="8">
        <v>1.91</v>
      </c>
      <c r="E64" s="12">
        <v>12</v>
      </c>
      <c r="F64" s="8">
        <v>2.12</v>
      </c>
      <c r="G64" s="12">
        <v>9</v>
      </c>
      <c r="H64" s="8">
        <v>1.69</v>
      </c>
      <c r="I64" s="12">
        <v>0</v>
      </c>
    </row>
    <row r="65" spans="2:9" ht="15" customHeight="1" x14ac:dyDescent="0.15">
      <c r="B65" t="s">
        <v>193</v>
      </c>
      <c r="C65" s="12">
        <v>20</v>
      </c>
      <c r="D65" s="8">
        <v>1.82</v>
      </c>
      <c r="E65" s="12">
        <v>3</v>
      </c>
      <c r="F65" s="8">
        <v>0.53</v>
      </c>
      <c r="G65" s="12">
        <v>17</v>
      </c>
      <c r="H65" s="8">
        <v>3.19</v>
      </c>
      <c r="I65" s="12">
        <v>0</v>
      </c>
    </row>
    <row r="66" spans="2:9" ht="15" customHeight="1" x14ac:dyDescent="0.15">
      <c r="B66" t="s">
        <v>152</v>
      </c>
      <c r="C66" s="12">
        <v>20</v>
      </c>
      <c r="D66" s="8">
        <v>1.82</v>
      </c>
      <c r="E66" s="12">
        <v>20</v>
      </c>
      <c r="F66" s="8">
        <v>3.53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138</v>
      </c>
      <c r="C67" s="12">
        <v>19</v>
      </c>
      <c r="D67" s="8">
        <v>1.73</v>
      </c>
      <c r="E67" s="12">
        <v>1</v>
      </c>
      <c r="F67" s="8">
        <v>0.18</v>
      </c>
      <c r="G67" s="12">
        <v>18</v>
      </c>
      <c r="H67" s="8">
        <v>3.38</v>
      </c>
      <c r="I67" s="12">
        <v>0</v>
      </c>
    </row>
    <row r="68" spans="2:9" ht="15" customHeight="1" x14ac:dyDescent="0.15">
      <c r="B68" t="s">
        <v>140</v>
      </c>
      <c r="C68" s="12">
        <v>18</v>
      </c>
      <c r="D68" s="8">
        <v>1.64</v>
      </c>
      <c r="E68" s="12">
        <v>4</v>
      </c>
      <c r="F68" s="8">
        <v>0.71</v>
      </c>
      <c r="G68" s="12">
        <v>14</v>
      </c>
      <c r="H68" s="8">
        <v>2.63</v>
      </c>
      <c r="I68" s="12">
        <v>0</v>
      </c>
    </row>
    <row r="69" spans="2:9" ht="15" customHeight="1" x14ac:dyDescent="0.15">
      <c r="B69" t="s">
        <v>143</v>
      </c>
      <c r="C69" s="12">
        <v>17</v>
      </c>
      <c r="D69" s="8">
        <v>1.55</v>
      </c>
      <c r="E69" s="12">
        <v>14</v>
      </c>
      <c r="F69" s="8">
        <v>2.4700000000000002</v>
      </c>
      <c r="G69" s="12">
        <v>3</v>
      </c>
      <c r="H69" s="8">
        <v>0.56000000000000005</v>
      </c>
      <c r="I69" s="12">
        <v>0</v>
      </c>
    </row>
    <row r="70" spans="2:9" ht="15" customHeight="1" x14ac:dyDescent="0.15">
      <c r="B70" t="s">
        <v>149</v>
      </c>
      <c r="C70" s="12">
        <v>17</v>
      </c>
      <c r="D70" s="8">
        <v>1.55</v>
      </c>
      <c r="E70" s="12">
        <v>0</v>
      </c>
      <c r="F70" s="8">
        <v>0</v>
      </c>
      <c r="G70" s="12">
        <v>17</v>
      </c>
      <c r="H70" s="8">
        <v>3.19</v>
      </c>
      <c r="I70" s="12">
        <v>0</v>
      </c>
    </row>
    <row r="71" spans="2:9" ht="15" customHeight="1" x14ac:dyDescent="0.15">
      <c r="B71" t="s">
        <v>158</v>
      </c>
      <c r="C71" s="12">
        <v>15</v>
      </c>
      <c r="D71" s="8">
        <v>1.36</v>
      </c>
      <c r="E71" s="12">
        <v>0</v>
      </c>
      <c r="F71" s="8">
        <v>0</v>
      </c>
      <c r="G71" s="12">
        <v>15</v>
      </c>
      <c r="H71" s="8">
        <v>2.81</v>
      </c>
      <c r="I71" s="12">
        <v>0</v>
      </c>
    </row>
    <row r="72" spans="2:9" ht="15" customHeight="1" x14ac:dyDescent="0.15">
      <c r="B72" t="s">
        <v>160</v>
      </c>
      <c r="C72" s="12">
        <v>15</v>
      </c>
      <c r="D72" s="8">
        <v>1.36</v>
      </c>
      <c r="E72" s="12">
        <v>4</v>
      </c>
      <c r="F72" s="8">
        <v>0.71</v>
      </c>
      <c r="G72" s="12">
        <v>11</v>
      </c>
      <c r="H72" s="8">
        <v>2.06</v>
      </c>
      <c r="I72" s="12">
        <v>0</v>
      </c>
    </row>
    <row r="73" spans="2:9" ht="15" customHeight="1" x14ac:dyDescent="0.15">
      <c r="B73" t="s">
        <v>189</v>
      </c>
      <c r="C73" s="12">
        <v>15</v>
      </c>
      <c r="D73" s="8">
        <v>1.36</v>
      </c>
      <c r="E73" s="12">
        <v>6</v>
      </c>
      <c r="F73" s="8">
        <v>1.06</v>
      </c>
      <c r="G73" s="12">
        <v>9</v>
      </c>
      <c r="H73" s="8">
        <v>1.69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77</v>
      </c>
      <c r="D6" s="8">
        <v>10.09</v>
      </c>
      <c r="E6" s="12">
        <v>31</v>
      </c>
      <c r="F6" s="8">
        <v>6.19</v>
      </c>
      <c r="G6" s="12">
        <v>46</v>
      </c>
      <c r="H6" s="8">
        <v>17.690000000000001</v>
      </c>
      <c r="I6" s="12">
        <v>0</v>
      </c>
    </row>
    <row r="7" spans="2:9" ht="15" customHeight="1" x14ac:dyDescent="0.15">
      <c r="B7" t="s">
        <v>64</v>
      </c>
      <c r="C7" s="12">
        <v>38</v>
      </c>
      <c r="D7" s="8">
        <v>4.9800000000000004</v>
      </c>
      <c r="E7" s="12">
        <v>8</v>
      </c>
      <c r="F7" s="8">
        <v>1.6</v>
      </c>
      <c r="G7" s="12">
        <v>30</v>
      </c>
      <c r="H7" s="8">
        <v>11.54</v>
      </c>
      <c r="I7" s="12">
        <v>0</v>
      </c>
    </row>
    <row r="8" spans="2:9" ht="15" customHeight="1" x14ac:dyDescent="0.15">
      <c r="B8" t="s">
        <v>65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0.38</v>
      </c>
      <c r="I8" s="12">
        <v>0</v>
      </c>
    </row>
    <row r="9" spans="2:9" ht="15" customHeight="1" x14ac:dyDescent="0.15">
      <c r="B9" t="s">
        <v>66</v>
      </c>
      <c r="C9" s="12">
        <v>12</v>
      </c>
      <c r="D9" s="8">
        <v>1.57</v>
      </c>
      <c r="E9" s="12">
        <v>2</v>
      </c>
      <c r="F9" s="8">
        <v>0.4</v>
      </c>
      <c r="G9" s="12">
        <v>10</v>
      </c>
      <c r="H9" s="8">
        <v>3.85</v>
      </c>
      <c r="I9" s="12">
        <v>0</v>
      </c>
    </row>
    <row r="10" spans="2:9" ht="15" customHeight="1" x14ac:dyDescent="0.15">
      <c r="B10" t="s">
        <v>67</v>
      </c>
      <c r="C10" s="12">
        <v>6</v>
      </c>
      <c r="D10" s="8">
        <v>0.79</v>
      </c>
      <c r="E10" s="12">
        <v>0</v>
      </c>
      <c r="F10" s="8">
        <v>0</v>
      </c>
      <c r="G10" s="12">
        <v>6</v>
      </c>
      <c r="H10" s="8">
        <v>2.31</v>
      </c>
      <c r="I10" s="12">
        <v>0</v>
      </c>
    </row>
    <row r="11" spans="2:9" ht="15" customHeight="1" x14ac:dyDescent="0.15">
      <c r="B11" t="s">
        <v>68</v>
      </c>
      <c r="C11" s="12">
        <v>160</v>
      </c>
      <c r="D11" s="8">
        <v>20.97</v>
      </c>
      <c r="E11" s="12">
        <v>99</v>
      </c>
      <c r="F11" s="8">
        <v>19.760000000000002</v>
      </c>
      <c r="G11" s="12">
        <v>60</v>
      </c>
      <c r="H11" s="8">
        <v>23.08</v>
      </c>
      <c r="I11" s="12">
        <v>1</v>
      </c>
    </row>
    <row r="12" spans="2:9" ht="15" customHeight="1" x14ac:dyDescent="0.15">
      <c r="B12" t="s">
        <v>69</v>
      </c>
      <c r="C12" s="12">
        <v>7</v>
      </c>
      <c r="D12" s="8">
        <v>0.92</v>
      </c>
      <c r="E12" s="12">
        <v>2</v>
      </c>
      <c r="F12" s="8">
        <v>0.4</v>
      </c>
      <c r="G12" s="12">
        <v>5</v>
      </c>
      <c r="H12" s="8">
        <v>1.92</v>
      </c>
      <c r="I12" s="12">
        <v>0</v>
      </c>
    </row>
    <row r="13" spans="2:9" ht="15" customHeight="1" x14ac:dyDescent="0.15">
      <c r="B13" t="s">
        <v>70</v>
      </c>
      <c r="C13" s="12">
        <v>217</v>
      </c>
      <c r="D13" s="8">
        <v>28.44</v>
      </c>
      <c r="E13" s="12">
        <v>177</v>
      </c>
      <c r="F13" s="8">
        <v>35.33</v>
      </c>
      <c r="G13" s="12">
        <v>40</v>
      </c>
      <c r="H13" s="8">
        <v>15.38</v>
      </c>
      <c r="I13" s="12">
        <v>0</v>
      </c>
    </row>
    <row r="14" spans="2:9" ht="15" customHeight="1" x14ac:dyDescent="0.15">
      <c r="B14" t="s">
        <v>71</v>
      </c>
      <c r="C14" s="12">
        <v>41</v>
      </c>
      <c r="D14" s="8">
        <v>5.37</v>
      </c>
      <c r="E14" s="12">
        <v>23</v>
      </c>
      <c r="F14" s="8">
        <v>4.59</v>
      </c>
      <c r="G14" s="12">
        <v>18</v>
      </c>
      <c r="H14" s="8">
        <v>6.92</v>
      </c>
      <c r="I14" s="12">
        <v>0</v>
      </c>
    </row>
    <row r="15" spans="2:9" ht="15" customHeight="1" x14ac:dyDescent="0.15">
      <c r="B15" t="s">
        <v>72</v>
      </c>
      <c r="C15" s="12">
        <v>51</v>
      </c>
      <c r="D15" s="8">
        <v>6.68</v>
      </c>
      <c r="E15" s="12">
        <v>42</v>
      </c>
      <c r="F15" s="8">
        <v>8.3800000000000008</v>
      </c>
      <c r="G15" s="12">
        <v>9</v>
      </c>
      <c r="H15" s="8">
        <v>3.46</v>
      </c>
      <c r="I15" s="12">
        <v>0</v>
      </c>
    </row>
    <row r="16" spans="2:9" ht="15" customHeight="1" x14ac:dyDescent="0.15">
      <c r="B16" t="s">
        <v>73</v>
      </c>
      <c r="C16" s="12">
        <v>60</v>
      </c>
      <c r="D16" s="8">
        <v>7.86</v>
      </c>
      <c r="E16" s="12">
        <v>46</v>
      </c>
      <c r="F16" s="8">
        <v>9.18</v>
      </c>
      <c r="G16" s="12">
        <v>14</v>
      </c>
      <c r="H16" s="8">
        <v>5.38</v>
      </c>
      <c r="I16" s="12">
        <v>0</v>
      </c>
    </row>
    <row r="17" spans="2:9" ht="15" customHeight="1" x14ac:dyDescent="0.15">
      <c r="B17" t="s">
        <v>74</v>
      </c>
      <c r="C17" s="12">
        <v>46</v>
      </c>
      <c r="D17" s="8">
        <v>6.03</v>
      </c>
      <c r="E17" s="12">
        <v>36</v>
      </c>
      <c r="F17" s="8">
        <v>7.19</v>
      </c>
      <c r="G17" s="12">
        <v>9</v>
      </c>
      <c r="H17" s="8">
        <v>3.46</v>
      </c>
      <c r="I17" s="12">
        <v>1</v>
      </c>
    </row>
    <row r="18" spans="2:9" ht="15" customHeight="1" x14ac:dyDescent="0.15">
      <c r="B18" t="s">
        <v>75</v>
      </c>
      <c r="C18" s="12">
        <v>31</v>
      </c>
      <c r="D18" s="8">
        <v>4.0599999999999996</v>
      </c>
      <c r="E18" s="12">
        <v>29</v>
      </c>
      <c r="F18" s="8">
        <v>5.79</v>
      </c>
      <c r="G18" s="12">
        <v>2</v>
      </c>
      <c r="H18" s="8">
        <v>0.77</v>
      </c>
      <c r="I18" s="12">
        <v>0</v>
      </c>
    </row>
    <row r="19" spans="2:9" ht="15" customHeight="1" x14ac:dyDescent="0.15">
      <c r="B19" t="s">
        <v>76</v>
      </c>
      <c r="C19" s="12">
        <v>16</v>
      </c>
      <c r="D19" s="8">
        <v>2.1</v>
      </c>
      <c r="E19" s="12">
        <v>6</v>
      </c>
      <c r="F19" s="8">
        <v>1.2</v>
      </c>
      <c r="G19" s="12">
        <v>10</v>
      </c>
      <c r="H19" s="8">
        <v>3.85</v>
      </c>
      <c r="I19" s="12">
        <v>0</v>
      </c>
    </row>
    <row r="20" spans="2:9" ht="15" customHeight="1" x14ac:dyDescent="0.15">
      <c r="B20" s="9" t="s">
        <v>216</v>
      </c>
      <c r="C20" s="12">
        <f>SUM(LTBL_14341[総数／事業所数])</f>
        <v>763</v>
      </c>
      <c r="E20" s="12">
        <f>SUBTOTAL(109,LTBL_14341[個人／事業所数])</f>
        <v>501</v>
      </c>
      <c r="G20" s="12">
        <f>SUBTOTAL(109,LTBL_14341[法人／事業所数])</f>
        <v>260</v>
      </c>
      <c r="I20" s="12">
        <f>SUBTOTAL(109,LTBL_14341[法人以外の団体／事業所数])</f>
        <v>2</v>
      </c>
    </row>
    <row r="21" spans="2:9" ht="15" customHeight="1" x14ac:dyDescent="0.15">
      <c r="E21" s="11">
        <f>LTBL_14341[[#Totals],[個人／事業所数]]/LTBL_14341[[#Totals],[総数／事業所数]]</f>
        <v>0.65661861074705108</v>
      </c>
      <c r="G21" s="11">
        <f>LTBL_14341[[#Totals],[法人／事業所数]]/LTBL_14341[[#Totals],[総数／事業所数]]</f>
        <v>0.34076015727391873</v>
      </c>
      <c r="I21" s="11">
        <f>LTBL_14341[[#Totals],[法人以外の団体／事業所数]]/LTBL_14341[[#Totals],[総数／事業所数]]</f>
        <v>2.6212319790301442E-3</v>
      </c>
    </row>
    <row r="23" spans="2:9" ht="33" customHeight="1" x14ac:dyDescent="0.15">
      <c r="B23" t="s">
        <v>215</v>
      </c>
      <c r="C23" s="10" t="s">
        <v>78</v>
      </c>
      <c r="D23" s="10" t="s">
        <v>399</v>
      </c>
      <c r="E23" s="10" t="s">
        <v>80</v>
      </c>
      <c r="F23" s="10" t="s">
        <v>400</v>
      </c>
      <c r="G23" s="10" t="s">
        <v>82</v>
      </c>
      <c r="H23" s="10" t="s">
        <v>401</v>
      </c>
      <c r="I23" s="10" t="s">
        <v>84</v>
      </c>
    </row>
    <row r="24" spans="2:9" ht="15" customHeight="1" x14ac:dyDescent="0.15">
      <c r="B24" t="s">
        <v>218</v>
      </c>
      <c r="C24">
        <v>5</v>
      </c>
      <c r="D24" t="s">
        <v>217</v>
      </c>
      <c r="E24">
        <v>0</v>
      </c>
      <c r="F24" t="s">
        <v>219</v>
      </c>
      <c r="G24">
        <v>5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201</v>
      </c>
      <c r="D29" s="8">
        <v>26.34</v>
      </c>
      <c r="E29" s="12">
        <v>174</v>
      </c>
      <c r="F29" s="8">
        <v>34.729999999999997</v>
      </c>
      <c r="G29" s="12">
        <v>27</v>
      </c>
      <c r="H29" s="8">
        <v>10.38</v>
      </c>
      <c r="I29" s="12">
        <v>0</v>
      </c>
    </row>
    <row r="30" spans="2:9" ht="15" customHeight="1" x14ac:dyDescent="0.15">
      <c r="B30" t="s">
        <v>100</v>
      </c>
      <c r="C30" s="12">
        <v>53</v>
      </c>
      <c r="D30" s="8">
        <v>6.95</v>
      </c>
      <c r="E30" s="12">
        <v>43</v>
      </c>
      <c r="F30" s="8">
        <v>8.58</v>
      </c>
      <c r="G30" s="12">
        <v>10</v>
      </c>
      <c r="H30" s="8">
        <v>3.85</v>
      </c>
      <c r="I30" s="12">
        <v>0</v>
      </c>
    </row>
    <row r="31" spans="2:9" ht="15" customHeight="1" x14ac:dyDescent="0.15">
      <c r="B31" t="s">
        <v>94</v>
      </c>
      <c r="C31" s="12">
        <v>50</v>
      </c>
      <c r="D31" s="8">
        <v>6.55</v>
      </c>
      <c r="E31" s="12">
        <v>29</v>
      </c>
      <c r="F31" s="8">
        <v>5.79</v>
      </c>
      <c r="G31" s="12">
        <v>21</v>
      </c>
      <c r="H31" s="8">
        <v>8.08</v>
      </c>
      <c r="I31" s="12">
        <v>0</v>
      </c>
    </row>
    <row r="32" spans="2:9" ht="15" customHeight="1" x14ac:dyDescent="0.15">
      <c r="B32" t="s">
        <v>99</v>
      </c>
      <c r="C32" s="12">
        <v>50</v>
      </c>
      <c r="D32" s="8">
        <v>6.55</v>
      </c>
      <c r="E32" s="12">
        <v>42</v>
      </c>
      <c r="F32" s="8">
        <v>8.3800000000000008</v>
      </c>
      <c r="G32" s="12">
        <v>8</v>
      </c>
      <c r="H32" s="8">
        <v>3.08</v>
      </c>
      <c r="I32" s="12">
        <v>0</v>
      </c>
    </row>
    <row r="33" spans="2:9" ht="15" customHeight="1" x14ac:dyDescent="0.15">
      <c r="B33" t="s">
        <v>92</v>
      </c>
      <c r="C33" s="12">
        <v>48</v>
      </c>
      <c r="D33" s="8">
        <v>6.29</v>
      </c>
      <c r="E33" s="12">
        <v>42</v>
      </c>
      <c r="F33" s="8">
        <v>8.3800000000000008</v>
      </c>
      <c r="G33" s="12">
        <v>5</v>
      </c>
      <c r="H33" s="8">
        <v>1.92</v>
      </c>
      <c r="I33" s="12">
        <v>1</v>
      </c>
    </row>
    <row r="34" spans="2:9" ht="15" customHeight="1" x14ac:dyDescent="0.15">
      <c r="B34" t="s">
        <v>102</v>
      </c>
      <c r="C34" s="12">
        <v>46</v>
      </c>
      <c r="D34" s="8">
        <v>6.03</v>
      </c>
      <c r="E34" s="12">
        <v>36</v>
      </c>
      <c r="F34" s="8">
        <v>7.19</v>
      </c>
      <c r="G34" s="12">
        <v>9</v>
      </c>
      <c r="H34" s="8">
        <v>3.46</v>
      </c>
      <c r="I34" s="12">
        <v>1</v>
      </c>
    </row>
    <row r="35" spans="2:9" ht="15" customHeight="1" x14ac:dyDescent="0.15">
      <c r="B35" t="s">
        <v>85</v>
      </c>
      <c r="C35" s="12">
        <v>38</v>
      </c>
      <c r="D35" s="8">
        <v>4.9800000000000004</v>
      </c>
      <c r="E35" s="12">
        <v>11</v>
      </c>
      <c r="F35" s="8">
        <v>2.2000000000000002</v>
      </c>
      <c r="G35" s="12">
        <v>27</v>
      </c>
      <c r="H35" s="8">
        <v>10.38</v>
      </c>
      <c r="I35" s="12">
        <v>0</v>
      </c>
    </row>
    <row r="36" spans="2:9" ht="15" customHeight="1" x14ac:dyDescent="0.15">
      <c r="B36" t="s">
        <v>103</v>
      </c>
      <c r="C36" s="12">
        <v>29</v>
      </c>
      <c r="D36" s="8">
        <v>3.8</v>
      </c>
      <c r="E36" s="12">
        <v>29</v>
      </c>
      <c r="F36" s="8">
        <v>5.79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86</v>
      </c>
      <c r="C37" s="12">
        <v>24</v>
      </c>
      <c r="D37" s="8">
        <v>3.15</v>
      </c>
      <c r="E37" s="12">
        <v>17</v>
      </c>
      <c r="F37" s="8">
        <v>3.39</v>
      </c>
      <c r="G37" s="12">
        <v>7</v>
      </c>
      <c r="H37" s="8">
        <v>2.69</v>
      </c>
      <c r="I37" s="12">
        <v>0</v>
      </c>
    </row>
    <row r="38" spans="2:9" ht="15" customHeight="1" x14ac:dyDescent="0.15">
      <c r="B38" t="s">
        <v>97</v>
      </c>
      <c r="C38" s="12">
        <v>22</v>
      </c>
      <c r="D38" s="8">
        <v>2.88</v>
      </c>
      <c r="E38" s="12">
        <v>15</v>
      </c>
      <c r="F38" s="8">
        <v>2.99</v>
      </c>
      <c r="G38" s="12">
        <v>7</v>
      </c>
      <c r="H38" s="8">
        <v>2.69</v>
      </c>
      <c r="I38" s="12">
        <v>0</v>
      </c>
    </row>
    <row r="39" spans="2:9" ht="15" customHeight="1" x14ac:dyDescent="0.15">
      <c r="B39" t="s">
        <v>93</v>
      </c>
      <c r="C39" s="12">
        <v>20</v>
      </c>
      <c r="D39" s="8">
        <v>2.62</v>
      </c>
      <c r="E39" s="12">
        <v>9</v>
      </c>
      <c r="F39" s="8">
        <v>1.8</v>
      </c>
      <c r="G39" s="12">
        <v>11</v>
      </c>
      <c r="H39" s="8">
        <v>4.2300000000000004</v>
      </c>
      <c r="I39" s="12">
        <v>0</v>
      </c>
    </row>
    <row r="40" spans="2:9" ht="15" customHeight="1" x14ac:dyDescent="0.15">
      <c r="B40" t="s">
        <v>98</v>
      </c>
      <c r="C40" s="12">
        <v>18</v>
      </c>
      <c r="D40" s="8">
        <v>2.36</v>
      </c>
      <c r="E40" s="12">
        <v>8</v>
      </c>
      <c r="F40" s="8">
        <v>1.6</v>
      </c>
      <c r="G40" s="12">
        <v>10</v>
      </c>
      <c r="H40" s="8">
        <v>3.85</v>
      </c>
      <c r="I40" s="12">
        <v>0</v>
      </c>
    </row>
    <row r="41" spans="2:9" ht="15" customHeight="1" x14ac:dyDescent="0.15">
      <c r="B41" t="s">
        <v>87</v>
      </c>
      <c r="C41" s="12">
        <v>15</v>
      </c>
      <c r="D41" s="8">
        <v>1.97</v>
      </c>
      <c r="E41" s="12">
        <v>3</v>
      </c>
      <c r="F41" s="8">
        <v>0.6</v>
      </c>
      <c r="G41" s="12">
        <v>12</v>
      </c>
      <c r="H41" s="8">
        <v>4.62</v>
      </c>
      <c r="I41" s="12">
        <v>0</v>
      </c>
    </row>
    <row r="42" spans="2:9" ht="15" customHeight="1" x14ac:dyDescent="0.15">
      <c r="B42" t="s">
        <v>95</v>
      </c>
      <c r="C42" s="12">
        <v>14</v>
      </c>
      <c r="D42" s="8">
        <v>1.83</v>
      </c>
      <c r="E42" s="12">
        <v>3</v>
      </c>
      <c r="F42" s="8">
        <v>0.6</v>
      </c>
      <c r="G42" s="12">
        <v>11</v>
      </c>
      <c r="H42" s="8">
        <v>4.2300000000000004</v>
      </c>
      <c r="I42" s="12">
        <v>0</v>
      </c>
    </row>
    <row r="43" spans="2:9" ht="15" customHeight="1" x14ac:dyDescent="0.15">
      <c r="B43" t="s">
        <v>109</v>
      </c>
      <c r="C43" s="12">
        <v>11</v>
      </c>
      <c r="D43" s="8">
        <v>1.44</v>
      </c>
      <c r="E43" s="12">
        <v>2</v>
      </c>
      <c r="F43" s="8">
        <v>0.4</v>
      </c>
      <c r="G43" s="12">
        <v>9</v>
      </c>
      <c r="H43" s="8">
        <v>3.46</v>
      </c>
      <c r="I43" s="12">
        <v>0</v>
      </c>
    </row>
    <row r="44" spans="2:9" ht="15" customHeight="1" x14ac:dyDescent="0.15">
      <c r="B44" t="s">
        <v>91</v>
      </c>
      <c r="C44" s="12">
        <v>11</v>
      </c>
      <c r="D44" s="8">
        <v>1.44</v>
      </c>
      <c r="E44" s="12">
        <v>11</v>
      </c>
      <c r="F44" s="8">
        <v>2.2000000000000002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106</v>
      </c>
      <c r="C45" s="12">
        <v>8</v>
      </c>
      <c r="D45" s="8">
        <v>1.05</v>
      </c>
      <c r="E45" s="12">
        <v>2</v>
      </c>
      <c r="F45" s="8">
        <v>0.4</v>
      </c>
      <c r="G45" s="12">
        <v>6</v>
      </c>
      <c r="H45" s="8">
        <v>2.31</v>
      </c>
      <c r="I45" s="12">
        <v>0</v>
      </c>
    </row>
    <row r="46" spans="2:9" ht="15" customHeight="1" x14ac:dyDescent="0.15">
      <c r="B46" t="s">
        <v>105</v>
      </c>
      <c r="C46" s="12">
        <v>8</v>
      </c>
      <c r="D46" s="8">
        <v>1.05</v>
      </c>
      <c r="E46" s="12">
        <v>2</v>
      </c>
      <c r="F46" s="8">
        <v>0.4</v>
      </c>
      <c r="G46" s="12">
        <v>6</v>
      </c>
      <c r="H46" s="8">
        <v>2.31</v>
      </c>
      <c r="I46" s="12">
        <v>0</v>
      </c>
    </row>
    <row r="47" spans="2:9" ht="15" customHeight="1" x14ac:dyDescent="0.15">
      <c r="B47" t="s">
        <v>107</v>
      </c>
      <c r="C47" s="12">
        <v>7</v>
      </c>
      <c r="D47" s="8">
        <v>0.92</v>
      </c>
      <c r="E47" s="12">
        <v>2</v>
      </c>
      <c r="F47" s="8">
        <v>0.4</v>
      </c>
      <c r="G47" s="12">
        <v>5</v>
      </c>
      <c r="H47" s="8">
        <v>1.92</v>
      </c>
      <c r="I47" s="12">
        <v>0</v>
      </c>
    </row>
    <row r="48" spans="2:9" ht="15" customHeight="1" x14ac:dyDescent="0.15">
      <c r="B48" t="s">
        <v>115</v>
      </c>
      <c r="C48" s="12">
        <v>7</v>
      </c>
      <c r="D48" s="8">
        <v>0.92</v>
      </c>
      <c r="E48" s="12">
        <v>2</v>
      </c>
      <c r="F48" s="8">
        <v>0.4</v>
      </c>
      <c r="G48" s="12">
        <v>5</v>
      </c>
      <c r="H48" s="8">
        <v>1.92</v>
      </c>
      <c r="I48" s="12">
        <v>0</v>
      </c>
    </row>
    <row r="49" spans="2:9" ht="15" customHeight="1" x14ac:dyDescent="0.15">
      <c r="B49" t="s">
        <v>104</v>
      </c>
      <c r="C49" s="12">
        <v>7</v>
      </c>
      <c r="D49" s="8">
        <v>0.92</v>
      </c>
      <c r="E49" s="12">
        <v>3</v>
      </c>
      <c r="F49" s="8">
        <v>0.6</v>
      </c>
      <c r="G49" s="12">
        <v>4</v>
      </c>
      <c r="H49" s="8">
        <v>1.54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106</v>
      </c>
      <c r="D53" s="8">
        <v>13.89</v>
      </c>
      <c r="E53" s="12">
        <v>98</v>
      </c>
      <c r="F53" s="8">
        <v>19.559999999999999</v>
      </c>
      <c r="G53" s="12">
        <v>8</v>
      </c>
      <c r="H53" s="8">
        <v>3.08</v>
      </c>
      <c r="I53" s="12">
        <v>0</v>
      </c>
    </row>
    <row r="54" spans="2:9" ht="15" customHeight="1" x14ac:dyDescent="0.15">
      <c r="B54" t="s">
        <v>173</v>
      </c>
      <c r="C54" s="12">
        <v>71</v>
      </c>
      <c r="D54" s="8">
        <v>9.31</v>
      </c>
      <c r="E54" s="12">
        <v>69</v>
      </c>
      <c r="F54" s="8">
        <v>13.77</v>
      </c>
      <c r="G54" s="12">
        <v>2</v>
      </c>
      <c r="H54" s="8">
        <v>0.77</v>
      </c>
      <c r="I54" s="12">
        <v>0</v>
      </c>
    </row>
    <row r="55" spans="2:9" ht="15" customHeight="1" x14ac:dyDescent="0.15">
      <c r="B55" t="s">
        <v>156</v>
      </c>
      <c r="C55" s="12">
        <v>36</v>
      </c>
      <c r="D55" s="8">
        <v>4.72</v>
      </c>
      <c r="E55" s="12">
        <v>31</v>
      </c>
      <c r="F55" s="8">
        <v>6.19</v>
      </c>
      <c r="G55" s="12">
        <v>4</v>
      </c>
      <c r="H55" s="8">
        <v>1.54</v>
      </c>
      <c r="I55" s="12">
        <v>1</v>
      </c>
    </row>
    <row r="56" spans="2:9" ht="15" customHeight="1" x14ac:dyDescent="0.15">
      <c r="B56" t="s">
        <v>155</v>
      </c>
      <c r="C56" s="12">
        <v>27</v>
      </c>
      <c r="D56" s="8">
        <v>3.54</v>
      </c>
      <c r="E56" s="12">
        <v>20</v>
      </c>
      <c r="F56" s="8">
        <v>3.99</v>
      </c>
      <c r="G56" s="12">
        <v>7</v>
      </c>
      <c r="H56" s="8">
        <v>2.69</v>
      </c>
      <c r="I56" s="12">
        <v>0</v>
      </c>
    </row>
    <row r="57" spans="2:9" ht="15" customHeight="1" x14ac:dyDescent="0.15">
      <c r="B57" t="s">
        <v>150</v>
      </c>
      <c r="C57" s="12">
        <v>23</v>
      </c>
      <c r="D57" s="8">
        <v>3.01</v>
      </c>
      <c r="E57" s="12">
        <v>19</v>
      </c>
      <c r="F57" s="8">
        <v>3.79</v>
      </c>
      <c r="G57" s="12">
        <v>4</v>
      </c>
      <c r="H57" s="8">
        <v>1.54</v>
      </c>
      <c r="I57" s="12">
        <v>0</v>
      </c>
    </row>
    <row r="58" spans="2:9" ht="15" customHeight="1" x14ac:dyDescent="0.15">
      <c r="B58" t="s">
        <v>154</v>
      </c>
      <c r="C58" s="12">
        <v>17</v>
      </c>
      <c r="D58" s="8">
        <v>2.23</v>
      </c>
      <c r="E58" s="12">
        <v>14</v>
      </c>
      <c r="F58" s="8">
        <v>2.79</v>
      </c>
      <c r="G58" s="12">
        <v>3</v>
      </c>
      <c r="H58" s="8">
        <v>1.1499999999999999</v>
      </c>
      <c r="I58" s="12">
        <v>0</v>
      </c>
    </row>
    <row r="59" spans="2:9" ht="15" customHeight="1" x14ac:dyDescent="0.15">
      <c r="B59" t="s">
        <v>138</v>
      </c>
      <c r="C59" s="12">
        <v>16</v>
      </c>
      <c r="D59" s="8">
        <v>2.1</v>
      </c>
      <c r="E59" s="12">
        <v>4</v>
      </c>
      <c r="F59" s="8">
        <v>0.8</v>
      </c>
      <c r="G59" s="12">
        <v>12</v>
      </c>
      <c r="H59" s="8">
        <v>4.62</v>
      </c>
      <c r="I59" s="12">
        <v>0</v>
      </c>
    </row>
    <row r="60" spans="2:9" ht="15" customHeight="1" x14ac:dyDescent="0.15">
      <c r="B60" t="s">
        <v>157</v>
      </c>
      <c r="C60" s="12">
        <v>16</v>
      </c>
      <c r="D60" s="8">
        <v>2.1</v>
      </c>
      <c r="E60" s="12">
        <v>16</v>
      </c>
      <c r="F60" s="8">
        <v>3.19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147</v>
      </c>
      <c r="C61" s="12">
        <v>14</v>
      </c>
      <c r="D61" s="8">
        <v>1.83</v>
      </c>
      <c r="E61" s="12">
        <v>7</v>
      </c>
      <c r="F61" s="8">
        <v>1.4</v>
      </c>
      <c r="G61" s="12">
        <v>7</v>
      </c>
      <c r="H61" s="8">
        <v>2.69</v>
      </c>
      <c r="I61" s="12">
        <v>0</v>
      </c>
    </row>
    <row r="62" spans="2:9" ht="15" customHeight="1" x14ac:dyDescent="0.15">
      <c r="B62" t="s">
        <v>143</v>
      </c>
      <c r="C62" s="12">
        <v>13</v>
      </c>
      <c r="D62" s="8">
        <v>1.7</v>
      </c>
      <c r="E62" s="12">
        <v>12</v>
      </c>
      <c r="F62" s="8">
        <v>2.4</v>
      </c>
      <c r="G62" s="12">
        <v>1</v>
      </c>
      <c r="H62" s="8">
        <v>0.38</v>
      </c>
      <c r="I62" s="12">
        <v>0</v>
      </c>
    </row>
    <row r="63" spans="2:9" ht="15" customHeight="1" x14ac:dyDescent="0.15">
      <c r="B63" t="s">
        <v>145</v>
      </c>
      <c r="C63" s="12">
        <v>13</v>
      </c>
      <c r="D63" s="8">
        <v>1.7</v>
      </c>
      <c r="E63" s="12">
        <v>8</v>
      </c>
      <c r="F63" s="8">
        <v>1.6</v>
      </c>
      <c r="G63" s="12">
        <v>5</v>
      </c>
      <c r="H63" s="8">
        <v>1.92</v>
      </c>
      <c r="I63" s="12">
        <v>0</v>
      </c>
    </row>
    <row r="64" spans="2:9" ht="15" customHeight="1" x14ac:dyDescent="0.15">
      <c r="B64" t="s">
        <v>139</v>
      </c>
      <c r="C64" s="12">
        <v>11</v>
      </c>
      <c r="D64" s="8">
        <v>1.44</v>
      </c>
      <c r="E64" s="12">
        <v>3</v>
      </c>
      <c r="F64" s="8">
        <v>0.6</v>
      </c>
      <c r="G64" s="12">
        <v>8</v>
      </c>
      <c r="H64" s="8">
        <v>3.08</v>
      </c>
      <c r="I64" s="12">
        <v>0</v>
      </c>
    </row>
    <row r="65" spans="2:9" ht="15" customHeight="1" x14ac:dyDescent="0.15">
      <c r="B65" t="s">
        <v>161</v>
      </c>
      <c r="C65" s="12">
        <v>10</v>
      </c>
      <c r="D65" s="8">
        <v>1.31</v>
      </c>
      <c r="E65" s="12">
        <v>3</v>
      </c>
      <c r="F65" s="8">
        <v>0.6</v>
      </c>
      <c r="G65" s="12">
        <v>7</v>
      </c>
      <c r="H65" s="8">
        <v>2.69</v>
      </c>
      <c r="I65" s="12">
        <v>0</v>
      </c>
    </row>
    <row r="66" spans="2:9" ht="15" customHeight="1" x14ac:dyDescent="0.15">
      <c r="B66" t="s">
        <v>149</v>
      </c>
      <c r="C66" s="12">
        <v>10</v>
      </c>
      <c r="D66" s="8">
        <v>1.31</v>
      </c>
      <c r="E66" s="12">
        <v>0</v>
      </c>
      <c r="F66" s="8">
        <v>0</v>
      </c>
      <c r="G66" s="12">
        <v>10</v>
      </c>
      <c r="H66" s="8">
        <v>3.85</v>
      </c>
      <c r="I66" s="12">
        <v>0</v>
      </c>
    </row>
    <row r="67" spans="2:9" ht="15" customHeight="1" x14ac:dyDescent="0.15">
      <c r="B67" t="s">
        <v>170</v>
      </c>
      <c r="C67" s="12">
        <v>10</v>
      </c>
      <c r="D67" s="8">
        <v>1.31</v>
      </c>
      <c r="E67" s="12">
        <v>10</v>
      </c>
      <c r="F67" s="8">
        <v>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163</v>
      </c>
      <c r="C68" s="12">
        <v>10</v>
      </c>
      <c r="D68" s="8">
        <v>1.31</v>
      </c>
      <c r="E68" s="12">
        <v>10</v>
      </c>
      <c r="F68" s="8">
        <v>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174</v>
      </c>
      <c r="C69" s="12">
        <v>9</v>
      </c>
      <c r="D69" s="8">
        <v>1.18</v>
      </c>
      <c r="E69" s="12">
        <v>3</v>
      </c>
      <c r="F69" s="8">
        <v>0.6</v>
      </c>
      <c r="G69" s="12">
        <v>6</v>
      </c>
      <c r="H69" s="8">
        <v>2.31</v>
      </c>
      <c r="I69" s="12">
        <v>0</v>
      </c>
    </row>
    <row r="70" spans="2:9" ht="15" customHeight="1" x14ac:dyDescent="0.15">
      <c r="B70" t="s">
        <v>141</v>
      </c>
      <c r="C70" s="12">
        <v>9</v>
      </c>
      <c r="D70" s="8">
        <v>1.18</v>
      </c>
      <c r="E70" s="12">
        <v>0</v>
      </c>
      <c r="F70" s="8">
        <v>0</v>
      </c>
      <c r="G70" s="12">
        <v>9</v>
      </c>
      <c r="H70" s="8">
        <v>3.46</v>
      </c>
      <c r="I70" s="12">
        <v>0</v>
      </c>
    </row>
    <row r="71" spans="2:9" ht="15" customHeight="1" x14ac:dyDescent="0.15">
      <c r="B71" t="s">
        <v>144</v>
      </c>
      <c r="C71" s="12">
        <v>9</v>
      </c>
      <c r="D71" s="8">
        <v>1.18</v>
      </c>
      <c r="E71" s="12">
        <v>4</v>
      </c>
      <c r="F71" s="8">
        <v>0.8</v>
      </c>
      <c r="G71" s="12">
        <v>5</v>
      </c>
      <c r="H71" s="8">
        <v>1.92</v>
      </c>
      <c r="I71" s="12">
        <v>0</v>
      </c>
    </row>
    <row r="72" spans="2:9" ht="15" customHeight="1" x14ac:dyDescent="0.15">
      <c r="B72" t="s">
        <v>146</v>
      </c>
      <c r="C72" s="12">
        <v>9</v>
      </c>
      <c r="D72" s="8">
        <v>1.18</v>
      </c>
      <c r="E72" s="12">
        <v>2</v>
      </c>
      <c r="F72" s="8">
        <v>0.4</v>
      </c>
      <c r="G72" s="12">
        <v>7</v>
      </c>
      <c r="H72" s="8">
        <v>2.69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402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56</v>
      </c>
      <c r="D6" s="8">
        <v>9.15</v>
      </c>
      <c r="E6" s="12">
        <v>18</v>
      </c>
      <c r="F6" s="8">
        <v>4.79</v>
      </c>
      <c r="G6" s="12">
        <v>38</v>
      </c>
      <c r="H6" s="8">
        <v>16.170000000000002</v>
      </c>
      <c r="I6" s="12">
        <v>0</v>
      </c>
    </row>
    <row r="7" spans="2:9" ht="15" customHeight="1" x14ac:dyDescent="0.15">
      <c r="B7" t="s">
        <v>64</v>
      </c>
      <c r="C7" s="12">
        <v>29</v>
      </c>
      <c r="D7" s="8">
        <v>4.74</v>
      </c>
      <c r="E7" s="12">
        <v>3</v>
      </c>
      <c r="F7" s="8">
        <v>0.8</v>
      </c>
      <c r="G7" s="12">
        <v>26</v>
      </c>
      <c r="H7" s="8">
        <v>11.06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1.28</v>
      </c>
      <c r="I9" s="12">
        <v>0</v>
      </c>
    </row>
    <row r="10" spans="2:9" ht="15" customHeight="1" x14ac:dyDescent="0.15">
      <c r="B10" t="s">
        <v>67</v>
      </c>
      <c r="C10" s="12">
        <v>2</v>
      </c>
      <c r="D10" s="8">
        <v>0.33</v>
      </c>
      <c r="E10" s="12">
        <v>0</v>
      </c>
      <c r="F10" s="8">
        <v>0</v>
      </c>
      <c r="G10" s="12">
        <v>1</v>
      </c>
      <c r="H10" s="8">
        <v>0.43</v>
      </c>
      <c r="I10" s="12">
        <v>1</v>
      </c>
    </row>
    <row r="11" spans="2:9" ht="15" customHeight="1" x14ac:dyDescent="0.15">
      <c r="B11" t="s">
        <v>68</v>
      </c>
      <c r="C11" s="12">
        <v>148</v>
      </c>
      <c r="D11" s="8">
        <v>24.18</v>
      </c>
      <c r="E11" s="12">
        <v>82</v>
      </c>
      <c r="F11" s="8">
        <v>21.81</v>
      </c>
      <c r="G11" s="12">
        <v>66</v>
      </c>
      <c r="H11" s="8">
        <v>28.09</v>
      </c>
      <c r="I11" s="12">
        <v>0</v>
      </c>
    </row>
    <row r="12" spans="2:9" ht="15" customHeight="1" x14ac:dyDescent="0.15">
      <c r="B12" t="s">
        <v>69</v>
      </c>
      <c r="C12" s="12">
        <v>2</v>
      </c>
      <c r="D12" s="8">
        <v>0.33</v>
      </c>
      <c r="E12" s="12">
        <v>1</v>
      </c>
      <c r="F12" s="8">
        <v>0.27</v>
      </c>
      <c r="G12" s="12">
        <v>1</v>
      </c>
      <c r="H12" s="8">
        <v>0.43</v>
      </c>
      <c r="I12" s="12">
        <v>0</v>
      </c>
    </row>
    <row r="13" spans="2:9" ht="15" customHeight="1" x14ac:dyDescent="0.15">
      <c r="B13" t="s">
        <v>70</v>
      </c>
      <c r="C13" s="12">
        <v>132</v>
      </c>
      <c r="D13" s="8">
        <v>21.57</v>
      </c>
      <c r="E13" s="12">
        <v>101</v>
      </c>
      <c r="F13" s="8">
        <v>26.86</v>
      </c>
      <c r="G13" s="12">
        <v>31</v>
      </c>
      <c r="H13" s="8">
        <v>13.19</v>
      </c>
      <c r="I13" s="12">
        <v>0</v>
      </c>
    </row>
    <row r="14" spans="2:9" ht="15" customHeight="1" x14ac:dyDescent="0.15">
      <c r="B14" t="s">
        <v>71</v>
      </c>
      <c r="C14" s="12">
        <v>28</v>
      </c>
      <c r="D14" s="8">
        <v>4.58</v>
      </c>
      <c r="E14" s="12">
        <v>12</v>
      </c>
      <c r="F14" s="8">
        <v>3.19</v>
      </c>
      <c r="G14" s="12">
        <v>16</v>
      </c>
      <c r="H14" s="8">
        <v>6.81</v>
      </c>
      <c r="I14" s="12">
        <v>0</v>
      </c>
    </row>
    <row r="15" spans="2:9" ht="15" customHeight="1" x14ac:dyDescent="0.15">
      <c r="B15" t="s">
        <v>72</v>
      </c>
      <c r="C15" s="12">
        <v>57</v>
      </c>
      <c r="D15" s="8">
        <v>9.31</v>
      </c>
      <c r="E15" s="12">
        <v>45</v>
      </c>
      <c r="F15" s="8">
        <v>11.97</v>
      </c>
      <c r="G15" s="12">
        <v>12</v>
      </c>
      <c r="H15" s="8">
        <v>5.1100000000000003</v>
      </c>
      <c r="I15" s="12">
        <v>0</v>
      </c>
    </row>
    <row r="16" spans="2:9" ht="15" customHeight="1" x14ac:dyDescent="0.15">
      <c r="B16" t="s">
        <v>73</v>
      </c>
      <c r="C16" s="12">
        <v>72</v>
      </c>
      <c r="D16" s="8">
        <v>11.76</v>
      </c>
      <c r="E16" s="12">
        <v>55</v>
      </c>
      <c r="F16" s="8">
        <v>14.63</v>
      </c>
      <c r="G16" s="12">
        <v>17</v>
      </c>
      <c r="H16" s="8">
        <v>7.23</v>
      </c>
      <c r="I16" s="12">
        <v>0</v>
      </c>
    </row>
    <row r="17" spans="2:9" ht="15" customHeight="1" x14ac:dyDescent="0.15">
      <c r="B17" t="s">
        <v>74</v>
      </c>
      <c r="C17" s="12">
        <v>39</v>
      </c>
      <c r="D17" s="8">
        <v>6.37</v>
      </c>
      <c r="E17" s="12">
        <v>31</v>
      </c>
      <c r="F17" s="8">
        <v>8.24</v>
      </c>
      <c r="G17" s="12">
        <v>8</v>
      </c>
      <c r="H17" s="8">
        <v>3.4</v>
      </c>
      <c r="I17" s="12">
        <v>0</v>
      </c>
    </row>
    <row r="18" spans="2:9" ht="15" customHeight="1" x14ac:dyDescent="0.15">
      <c r="B18" t="s">
        <v>75</v>
      </c>
      <c r="C18" s="12">
        <v>34</v>
      </c>
      <c r="D18" s="8">
        <v>5.56</v>
      </c>
      <c r="E18" s="12">
        <v>25</v>
      </c>
      <c r="F18" s="8">
        <v>6.65</v>
      </c>
      <c r="G18" s="12">
        <v>9</v>
      </c>
      <c r="H18" s="8">
        <v>3.83</v>
      </c>
      <c r="I18" s="12">
        <v>0</v>
      </c>
    </row>
    <row r="19" spans="2:9" ht="15" customHeight="1" x14ac:dyDescent="0.15">
      <c r="B19" t="s">
        <v>76</v>
      </c>
      <c r="C19" s="12">
        <v>10</v>
      </c>
      <c r="D19" s="8">
        <v>1.63</v>
      </c>
      <c r="E19" s="12">
        <v>3</v>
      </c>
      <c r="F19" s="8">
        <v>0.8</v>
      </c>
      <c r="G19" s="12">
        <v>7</v>
      </c>
      <c r="H19" s="8">
        <v>2.98</v>
      </c>
      <c r="I19" s="12">
        <v>0</v>
      </c>
    </row>
    <row r="20" spans="2:9" ht="15" customHeight="1" x14ac:dyDescent="0.15">
      <c r="B20" s="9" t="s">
        <v>216</v>
      </c>
      <c r="C20" s="12">
        <f>SUM(LTBL_14342[総数／事業所数])</f>
        <v>612</v>
      </c>
      <c r="E20" s="12">
        <f>SUBTOTAL(109,LTBL_14342[個人／事業所数])</f>
        <v>376</v>
      </c>
      <c r="G20" s="12">
        <f>SUBTOTAL(109,LTBL_14342[法人／事業所数])</f>
        <v>235</v>
      </c>
      <c r="I20" s="12">
        <f>SUBTOTAL(109,LTBL_14342[法人以外の団体／事業所数])</f>
        <v>1</v>
      </c>
    </row>
    <row r="21" spans="2:9" ht="15" customHeight="1" x14ac:dyDescent="0.15">
      <c r="E21" s="11">
        <f>LTBL_14342[[#Totals],[個人／事業所数]]/LTBL_14342[[#Totals],[総数／事業所数]]</f>
        <v>0.6143790849673203</v>
      </c>
      <c r="G21" s="11">
        <f>LTBL_14342[[#Totals],[法人／事業所数]]/LTBL_14342[[#Totals],[総数／事業所数]]</f>
        <v>0.38398692810457519</v>
      </c>
      <c r="I21" s="11">
        <f>LTBL_14342[[#Totals],[法人以外の団体／事業所数]]/LTBL_14342[[#Totals],[総数／事業所数]]</f>
        <v>1.6339869281045752E-3</v>
      </c>
    </row>
    <row r="23" spans="2:9" ht="33" customHeight="1" x14ac:dyDescent="0.15">
      <c r="B23" t="s">
        <v>215</v>
      </c>
      <c r="C23" s="10" t="s">
        <v>78</v>
      </c>
      <c r="D23" s="10" t="s">
        <v>403</v>
      </c>
      <c r="E23" s="10" t="s">
        <v>80</v>
      </c>
      <c r="F23" s="10" t="s">
        <v>404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1</v>
      </c>
      <c r="D25" t="s">
        <v>217</v>
      </c>
      <c r="E25">
        <v>0</v>
      </c>
      <c r="F25" t="s">
        <v>219</v>
      </c>
      <c r="G25">
        <v>1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122</v>
      </c>
      <c r="D29" s="8">
        <v>19.93</v>
      </c>
      <c r="E29" s="12">
        <v>101</v>
      </c>
      <c r="F29" s="8">
        <v>26.86</v>
      </c>
      <c r="G29" s="12">
        <v>21</v>
      </c>
      <c r="H29" s="8">
        <v>8.94</v>
      </c>
      <c r="I29" s="12">
        <v>0</v>
      </c>
    </row>
    <row r="30" spans="2:9" ht="15" customHeight="1" x14ac:dyDescent="0.15">
      <c r="B30" t="s">
        <v>100</v>
      </c>
      <c r="C30" s="12">
        <v>64</v>
      </c>
      <c r="D30" s="8">
        <v>10.46</v>
      </c>
      <c r="E30" s="12">
        <v>50</v>
      </c>
      <c r="F30" s="8">
        <v>13.3</v>
      </c>
      <c r="G30" s="12">
        <v>14</v>
      </c>
      <c r="H30" s="8">
        <v>5.96</v>
      </c>
      <c r="I30" s="12">
        <v>0</v>
      </c>
    </row>
    <row r="31" spans="2:9" ht="15" customHeight="1" x14ac:dyDescent="0.15">
      <c r="B31" t="s">
        <v>99</v>
      </c>
      <c r="C31" s="12">
        <v>51</v>
      </c>
      <c r="D31" s="8">
        <v>8.33</v>
      </c>
      <c r="E31" s="12">
        <v>44</v>
      </c>
      <c r="F31" s="8">
        <v>11.7</v>
      </c>
      <c r="G31" s="12">
        <v>7</v>
      </c>
      <c r="H31" s="8">
        <v>2.98</v>
      </c>
      <c r="I31" s="12">
        <v>0</v>
      </c>
    </row>
    <row r="32" spans="2:9" ht="15" customHeight="1" x14ac:dyDescent="0.15">
      <c r="B32" t="s">
        <v>92</v>
      </c>
      <c r="C32" s="12">
        <v>47</v>
      </c>
      <c r="D32" s="8">
        <v>7.68</v>
      </c>
      <c r="E32" s="12">
        <v>31</v>
      </c>
      <c r="F32" s="8">
        <v>8.24</v>
      </c>
      <c r="G32" s="12">
        <v>16</v>
      </c>
      <c r="H32" s="8">
        <v>6.81</v>
      </c>
      <c r="I32" s="12">
        <v>0</v>
      </c>
    </row>
    <row r="33" spans="2:9" ht="15" customHeight="1" x14ac:dyDescent="0.15">
      <c r="B33" t="s">
        <v>94</v>
      </c>
      <c r="C33" s="12">
        <v>45</v>
      </c>
      <c r="D33" s="8">
        <v>7.35</v>
      </c>
      <c r="E33" s="12">
        <v>22</v>
      </c>
      <c r="F33" s="8">
        <v>5.85</v>
      </c>
      <c r="G33" s="12">
        <v>23</v>
      </c>
      <c r="H33" s="8">
        <v>9.7899999999999991</v>
      </c>
      <c r="I33" s="12">
        <v>0</v>
      </c>
    </row>
    <row r="34" spans="2:9" ht="15" customHeight="1" x14ac:dyDescent="0.15">
      <c r="B34" t="s">
        <v>102</v>
      </c>
      <c r="C34" s="12">
        <v>39</v>
      </c>
      <c r="D34" s="8">
        <v>6.37</v>
      </c>
      <c r="E34" s="12">
        <v>31</v>
      </c>
      <c r="F34" s="8">
        <v>8.24</v>
      </c>
      <c r="G34" s="12">
        <v>8</v>
      </c>
      <c r="H34" s="8">
        <v>3.4</v>
      </c>
      <c r="I34" s="12">
        <v>0</v>
      </c>
    </row>
    <row r="35" spans="2:9" ht="15" customHeight="1" x14ac:dyDescent="0.15">
      <c r="B35" t="s">
        <v>85</v>
      </c>
      <c r="C35" s="12">
        <v>27</v>
      </c>
      <c r="D35" s="8">
        <v>4.41</v>
      </c>
      <c r="E35" s="12">
        <v>9</v>
      </c>
      <c r="F35" s="8">
        <v>2.39</v>
      </c>
      <c r="G35" s="12">
        <v>18</v>
      </c>
      <c r="H35" s="8">
        <v>7.66</v>
      </c>
      <c r="I35" s="12">
        <v>0</v>
      </c>
    </row>
    <row r="36" spans="2:9" ht="15" customHeight="1" x14ac:dyDescent="0.15">
      <c r="B36" t="s">
        <v>103</v>
      </c>
      <c r="C36" s="12">
        <v>27</v>
      </c>
      <c r="D36" s="8">
        <v>4.41</v>
      </c>
      <c r="E36" s="12">
        <v>25</v>
      </c>
      <c r="F36" s="8">
        <v>6.65</v>
      </c>
      <c r="G36" s="12">
        <v>2</v>
      </c>
      <c r="H36" s="8">
        <v>0.85</v>
      </c>
      <c r="I36" s="12">
        <v>0</v>
      </c>
    </row>
    <row r="37" spans="2:9" ht="15" customHeight="1" x14ac:dyDescent="0.15">
      <c r="B37" t="s">
        <v>86</v>
      </c>
      <c r="C37" s="12">
        <v>21</v>
      </c>
      <c r="D37" s="8">
        <v>3.43</v>
      </c>
      <c r="E37" s="12">
        <v>8</v>
      </c>
      <c r="F37" s="8">
        <v>2.13</v>
      </c>
      <c r="G37" s="12">
        <v>13</v>
      </c>
      <c r="H37" s="8">
        <v>5.53</v>
      </c>
      <c r="I37" s="12">
        <v>0</v>
      </c>
    </row>
    <row r="38" spans="2:9" ht="15" customHeight="1" x14ac:dyDescent="0.15">
      <c r="B38" t="s">
        <v>91</v>
      </c>
      <c r="C38" s="12">
        <v>19</v>
      </c>
      <c r="D38" s="8">
        <v>3.1</v>
      </c>
      <c r="E38" s="12">
        <v>16</v>
      </c>
      <c r="F38" s="8">
        <v>4.26</v>
      </c>
      <c r="G38" s="12">
        <v>3</v>
      </c>
      <c r="H38" s="8">
        <v>1.28</v>
      </c>
      <c r="I38" s="12">
        <v>0</v>
      </c>
    </row>
    <row r="39" spans="2:9" ht="15" customHeight="1" x14ac:dyDescent="0.15">
      <c r="B39" t="s">
        <v>97</v>
      </c>
      <c r="C39" s="12">
        <v>14</v>
      </c>
      <c r="D39" s="8">
        <v>2.29</v>
      </c>
      <c r="E39" s="12">
        <v>7</v>
      </c>
      <c r="F39" s="8">
        <v>1.86</v>
      </c>
      <c r="G39" s="12">
        <v>7</v>
      </c>
      <c r="H39" s="8">
        <v>2.98</v>
      </c>
      <c r="I39" s="12">
        <v>0</v>
      </c>
    </row>
    <row r="40" spans="2:9" ht="15" customHeight="1" x14ac:dyDescent="0.15">
      <c r="B40" t="s">
        <v>98</v>
      </c>
      <c r="C40" s="12">
        <v>14</v>
      </c>
      <c r="D40" s="8">
        <v>2.29</v>
      </c>
      <c r="E40" s="12">
        <v>5</v>
      </c>
      <c r="F40" s="8">
        <v>1.33</v>
      </c>
      <c r="G40" s="12">
        <v>9</v>
      </c>
      <c r="H40" s="8">
        <v>3.83</v>
      </c>
      <c r="I40" s="12">
        <v>0</v>
      </c>
    </row>
    <row r="41" spans="2:9" ht="15" customHeight="1" x14ac:dyDescent="0.15">
      <c r="B41" t="s">
        <v>93</v>
      </c>
      <c r="C41" s="12">
        <v>13</v>
      </c>
      <c r="D41" s="8">
        <v>2.12</v>
      </c>
      <c r="E41" s="12">
        <v>6</v>
      </c>
      <c r="F41" s="8">
        <v>1.6</v>
      </c>
      <c r="G41" s="12">
        <v>7</v>
      </c>
      <c r="H41" s="8">
        <v>2.98</v>
      </c>
      <c r="I41" s="12">
        <v>0</v>
      </c>
    </row>
    <row r="42" spans="2:9" ht="15" customHeight="1" x14ac:dyDescent="0.15">
      <c r="B42" t="s">
        <v>118</v>
      </c>
      <c r="C42" s="12">
        <v>10</v>
      </c>
      <c r="D42" s="8">
        <v>1.63</v>
      </c>
      <c r="E42" s="12">
        <v>4</v>
      </c>
      <c r="F42" s="8">
        <v>1.06</v>
      </c>
      <c r="G42" s="12">
        <v>6</v>
      </c>
      <c r="H42" s="8">
        <v>2.5499999999999998</v>
      </c>
      <c r="I42" s="12">
        <v>0</v>
      </c>
    </row>
    <row r="43" spans="2:9" ht="15" customHeight="1" x14ac:dyDescent="0.15">
      <c r="B43" t="s">
        <v>95</v>
      </c>
      <c r="C43" s="12">
        <v>9</v>
      </c>
      <c r="D43" s="8">
        <v>1.47</v>
      </c>
      <c r="E43" s="12">
        <v>0</v>
      </c>
      <c r="F43" s="8">
        <v>0</v>
      </c>
      <c r="G43" s="12">
        <v>9</v>
      </c>
      <c r="H43" s="8">
        <v>3.83</v>
      </c>
      <c r="I43" s="12">
        <v>0</v>
      </c>
    </row>
    <row r="44" spans="2:9" ht="15" customHeight="1" x14ac:dyDescent="0.15">
      <c r="B44" t="s">
        <v>87</v>
      </c>
      <c r="C44" s="12">
        <v>8</v>
      </c>
      <c r="D44" s="8">
        <v>1.31</v>
      </c>
      <c r="E44" s="12">
        <v>1</v>
      </c>
      <c r="F44" s="8">
        <v>0.27</v>
      </c>
      <c r="G44" s="12">
        <v>7</v>
      </c>
      <c r="H44" s="8">
        <v>2.98</v>
      </c>
      <c r="I44" s="12">
        <v>0</v>
      </c>
    </row>
    <row r="45" spans="2:9" ht="15" customHeight="1" x14ac:dyDescent="0.15">
      <c r="B45" t="s">
        <v>101</v>
      </c>
      <c r="C45" s="12">
        <v>7</v>
      </c>
      <c r="D45" s="8">
        <v>1.1399999999999999</v>
      </c>
      <c r="E45" s="12">
        <v>4</v>
      </c>
      <c r="F45" s="8">
        <v>1.06</v>
      </c>
      <c r="G45" s="12">
        <v>3</v>
      </c>
      <c r="H45" s="8">
        <v>1.28</v>
      </c>
      <c r="I45" s="12">
        <v>0</v>
      </c>
    </row>
    <row r="46" spans="2:9" ht="15" customHeight="1" x14ac:dyDescent="0.15">
      <c r="B46" t="s">
        <v>108</v>
      </c>
      <c r="C46" s="12">
        <v>7</v>
      </c>
      <c r="D46" s="8">
        <v>1.1399999999999999</v>
      </c>
      <c r="E46" s="12">
        <v>0</v>
      </c>
      <c r="F46" s="8">
        <v>0</v>
      </c>
      <c r="G46" s="12">
        <v>7</v>
      </c>
      <c r="H46" s="8">
        <v>2.98</v>
      </c>
      <c r="I46" s="12">
        <v>0</v>
      </c>
    </row>
    <row r="47" spans="2:9" ht="15" customHeight="1" x14ac:dyDescent="0.15">
      <c r="B47" t="s">
        <v>89</v>
      </c>
      <c r="C47" s="12">
        <v>6</v>
      </c>
      <c r="D47" s="8">
        <v>0.98</v>
      </c>
      <c r="E47" s="12">
        <v>0</v>
      </c>
      <c r="F47" s="8">
        <v>0</v>
      </c>
      <c r="G47" s="12">
        <v>6</v>
      </c>
      <c r="H47" s="8">
        <v>2.5499999999999998</v>
      </c>
      <c r="I47" s="12">
        <v>0</v>
      </c>
    </row>
    <row r="48" spans="2:9" ht="15" customHeight="1" x14ac:dyDescent="0.15">
      <c r="B48" t="s">
        <v>126</v>
      </c>
      <c r="C48" s="12">
        <v>6</v>
      </c>
      <c r="D48" s="8">
        <v>0.98</v>
      </c>
      <c r="E48" s="12">
        <v>1</v>
      </c>
      <c r="F48" s="8">
        <v>0.27</v>
      </c>
      <c r="G48" s="12">
        <v>5</v>
      </c>
      <c r="H48" s="8">
        <v>2.13</v>
      </c>
      <c r="I48" s="12">
        <v>0</v>
      </c>
    </row>
    <row r="51" spans="2:9" ht="33" customHeight="1" x14ac:dyDescent="0.15">
      <c r="B51" t="s">
        <v>255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75</v>
      </c>
      <c r="D52" s="8">
        <v>12.25</v>
      </c>
      <c r="E52" s="12">
        <v>69</v>
      </c>
      <c r="F52" s="8">
        <v>18.350000000000001</v>
      </c>
      <c r="G52" s="12">
        <v>6</v>
      </c>
      <c r="H52" s="8">
        <v>2.5499999999999998</v>
      </c>
      <c r="I52" s="12">
        <v>0</v>
      </c>
    </row>
    <row r="53" spans="2:9" ht="15" customHeight="1" x14ac:dyDescent="0.15">
      <c r="B53" t="s">
        <v>155</v>
      </c>
      <c r="C53" s="12">
        <v>30</v>
      </c>
      <c r="D53" s="8">
        <v>4.9000000000000004</v>
      </c>
      <c r="E53" s="12">
        <v>24</v>
      </c>
      <c r="F53" s="8">
        <v>6.38</v>
      </c>
      <c r="G53" s="12">
        <v>6</v>
      </c>
      <c r="H53" s="8">
        <v>2.5499999999999998</v>
      </c>
      <c r="I53" s="12">
        <v>0</v>
      </c>
    </row>
    <row r="54" spans="2:9" ht="15" customHeight="1" x14ac:dyDescent="0.15">
      <c r="B54" t="s">
        <v>156</v>
      </c>
      <c r="C54" s="12">
        <v>26</v>
      </c>
      <c r="D54" s="8">
        <v>4.25</v>
      </c>
      <c r="E54" s="12">
        <v>23</v>
      </c>
      <c r="F54" s="8">
        <v>6.12</v>
      </c>
      <c r="G54" s="12">
        <v>3</v>
      </c>
      <c r="H54" s="8">
        <v>1.28</v>
      </c>
      <c r="I54" s="12">
        <v>0</v>
      </c>
    </row>
    <row r="55" spans="2:9" ht="15" customHeight="1" x14ac:dyDescent="0.15">
      <c r="B55" t="s">
        <v>173</v>
      </c>
      <c r="C55" s="12">
        <v>25</v>
      </c>
      <c r="D55" s="8">
        <v>4.08</v>
      </c>
      <c r="E55" s="12">
        <v>25</v>
      </c>
      <c r="F55" s="8">
        <v>6.65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145</v>
      </c>
      <c r="C56" s="12">
        <v>19</v>
      </c>
      <c r="D56" s="8">
        <v>3.1</v>
      </c>
      <c r="E56" s="12">
        <v>10</v>
      </c>
      <c r="F56" s="8">
        <v>2.66</v>
      </c>
      <c r="G56" s="12">
        <v>9</v>
      </c>
      <c r="H56" s="8">
        <v>3.83</v>
      </c>
      <c r="I56" s="12">
        <v>0</v>
      </c>
    </row>
    <row r="57" spans="2:9" ht="15" customHeight="1" x14ac:dyDescent="0.15">
      <c r="B57" t="s">
        <v>147</v>
      </c>
      <c r="C57" s="12">
        <v>18</v>
      </c>
      <c r="D57" s="8">
        <v>2.94</v>
      </c>
      <c r="E57" s="12">
        <v>7</v>
      </c>
      <c r="F57" s="8">
        <v>1.86</v>
      </c>
      <c r="G57" s="12">
        <v>11</v>
      </c>
      <c r="H57" s="8">
        <v>4.68</v>
      </c>
      <c r="I57" s="12">
        <v>0</v>
      </c>
    </row>
    <row r="58" spans="2:9" ht="15" customHeight="1" x14ac:dyDescent="0.15">
      <c r="B58" t="s">
        <v>152</v>
      </c>
      <c r="C58" s="12">
        <v>18</v>
      </c>
      <c r="D58" s="8">
        <v>2.94</v>
      </c>
      <c r="E58" s="12">
        <v>18</v>
      </c>
      <c r="F58" s="8">
        <v>4.79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154</v>
      </c>
      <c r="C59" s="12">
        <v>18</v>
      </c>
      <c r="D59" s="8">
        <v>2.94</v>
      </c>
      <c r="E59" s="12">
        <v>16</v>
      </c>
      <c r="F59" s="8">
        <v>4.26</v>
      </c>
      <c r="G59" s="12">
        <v>2</v>
      </c>
      <c r="H59" s="8">
        <v>0.85</v>
      </c>
      <c r="I59" s="12">
        <v>0</v>
      </c>
    </row>
    <row r="60" spans="2:9" ht="15" customHeight="1" x14ac:dyDescent="0.15">
      <c r="B60" t="s">
        <v>157</v>
      </c>
      <c r="C60" s="12">
        <v>18</v>
      </c>
      <c r="D60" s="8">
        <v>2.94</v>
      </c>
      <c r="E60" s="12">
        <v>17</v>
      </c>
      <c r="F60" s="8">
        <v>4.5199999999999996</v>
      </c>
      <c r="G60" s="12">
        <v>1</v>
      </c>
      <c r="H60" s="8">
        <v>0.43</v>
      </c>
      <c r="I60" s="12">
        <v>0</v>
      </c>
    </row>
    <row r="61" spans="2:9" ht="15" customHeight="1" x14ac:dyDescent="0.15">
      <c r="B61" t="s">
        <v>166</v>
      </c>
      <c r="C61" s="12">
        <v>15</v>
      </c>
      <c r="D61" s="8">
        <v>2.4500000000000002</v>
      </c>
      <c r="E61" s="12">
        <v>10</v>
      </c>
      <c r="F61" s="8">
        <v>2.66</v>
      </c>
      <c r="G61" s="12">
        <v>5</v>
      </c>
      <c r="H61" s="8">
        <v>2.13</v>
      </c>
      <c r="I61" s="12">
        <v>0</v>
      </c>
    </row>
    <row r="62" spans="2:9" ht="15" customHeight="1" x14ac:dyDescent="0.15">
      <c r="B62" t="s">
        <v>150</v>
      </c>
      <c r="C62" s="12">
        <v>13</v>
      </c>
      <c r="D62" s="8">
        <v>2.12</v>
      </c>
      <c r="E62" s="12">
        <v>10</v>
      </c>
      <c r="F62" s="8">
        <v>2.66</v>
      </c>
      <c r="G62" s="12">
        <v>3</v>
      </c>
      <c r="H62" s="8">
        <v>1.28</v>
      </c>
      <c r="I62" s="12">
        <v>0</v>
      </c>
    </row>
    <row r="63" spans="2:9" ht="15" customHeight="1" x14ac:dyDescent="0.15">
      <c r="B63" t="s">
        <v>174</v>
      </c>
      <c r="C63" s="12">
        <v>12</v>
      </c>
      <c r="D63" s="8">
        <v>1.96</v>
      </c>
      <c r="E63" s="12">
        <v>5</v>
      </c>
      <c r="F63" s="8">
        <v>1.33</v>
      </c>
      <c r="G63" s="12">
        <v>7</v>
      </c>
      <c r="H63" s="8">
        <v>2.98</v>
      </c>
      <c r="I63" s="12">
        <v>0</v>
      </c>
    </row>
    <row r="64" spans="2:9" ht="15" customHeight="1" x14ac:dyDescent="0.15">
      <c r="B64" t="s">
        <v>153</v>
      </c>
      <c r="C64" s="12">
        <v>12</v>
      </c>
      <c r="D64" s="8">
        <v>1.96</v>
      </c>
      <c r="E64" s="12">
        <v>8</v>
      </c>
      <c r="F64" s="8">
        <v>2.13</v>
      </c>
      <c r="G64" s="12">
        <v>4</v>
      </c>
      <c r="H64" s="8">
        <v>1.7</v>
      </c>
      <c r="I64" s="12">
        <v>0</v>
      </c>
    </row>
    <row r="65" spans="2:9" ht="15" customHeight="1" x14ac:dyDescent="0.15">
      <c r="B65" t="s">
        <v>175</v>
      </c>
      <c r="C65" s="12">
        <v>11</v>
      </c>
      <c r="D65" s="8">
        <v>1.8</v>
      </c>
      <c r="E65" s="12">
        <v>8</v>
      </c>
      <c r="F65" s="8">
        <v>2.13</v>
      </c>
      <c r="G65" s="12">
        <v>3</v>
      </c>
      <c r="H65" s="8">
        <v>1.28</v>
      </c>
      <c r="I65" s="12">
        <v>0</v>
      </c>
    </row>
    <row r="66" spans="2:9" ht="15" customHeight="1" x14ac:dyDescent="0.15">
      <c r="B66" t="s">
        <v>142</v>
      </c>
      <c r="C66" s="12">
        <v>10</v>
      </c>
      <c r="D66" s="8">
        <v>1.63</v>
      </c>
      <c r="E66" s="12">
        <v>8</v>
      </c>
      <c r="F66" s="8">
        <v>2.13</v>
      </c>
      <c r="G66" s="12">
        <v>2</v>
      </c>
      <c r="H66" s="8">
        <v>0.85</v>
      </c>
      <c r="I66" s="12">
        <v>0</v>
      </c>
    </row>
    <row r="67" spans="2:9" ht="15" customHeight="1" x14ac:dyDescent="0.15">
      <c r="B67" t="s">
        <v>161</v>
      </c>
      <c r="C67" s="12">
        <v>10</v>
      </c>
      <c r="D67" s="8">
        <v>1.63</v>
      </c>
      <c r="E67" s="12">
        <v>4</v>
      </c>
      <c r="F67" s="8">
        <v>1.06</v>
      </c>
      <c r="G67" s="12">
        <v>6</v>
      </c>
      <c r="H67" s="8">
        <v>2.5499999999999998</v>
      </c>
      <c r="I67" s="12">
        <v>0</v>
      </c>
    </row>
    <row r="68" spans="2:9" ht="15" customHeight="1" x14ac:dyDescent="0.15">
      <c r="B68" t="s">
        <v>143</v>
      </c>
      <c r="C68" s="12">
        <v>8</v>
      </c>
      <c r="D68" s="8">
        <v>1.31</v>
      </c>
      <c r="E68" s="12">
        <v>5</v>
      </c>
      <c r="F68" s="8">
        <v>1.33</v>
      </c>
      <c r="G68" s="12">
        <v>3</v>
      </c>
      <c r="H68" s="8">
        <v>1.28</v>
      </c>
      <c r="I68" s="12">
        <v>0</v>
      </c>
    </row>
    <row r="69" spans="2:9" ht="15" customHeight="1" x14ac:dyDescent="0.15">
      <c r="B69" t="s">
        <v>151</v>
      </c>
      <c r="C69" s="12">
        <v>8</v>
      </c>
      <c r="D69" s="8">
        <v>1.31</v>
      </c>
      <c r="E69" s="12">
        <v>6</v>
      </c>
      <c r="F69" s="8">
        <v>1.6</v>
      </c>
      <c r="G69" s="12">
        <v>2</v>
      </c>
      <c r="H69" s="8">
        <v>0.85</v>
      </c>
      <c r="I69" s="12">
        <v>0</v>
      </c>
    </row>
    <row r="70" spans="2:9" ht="15" customHeight="1" x14ac:dyDescent="0.15">
      <c r="B70" t="s">
        <v>194</v>
      </c>
      <c r="C70" s="12">
        <v>7</v>
      </c>
      <c r="D70" s="8">
        <v>1.1399999999999999</v>
      </c>
      <c r="E70" s="12">
        <v>7</v>
      </c>
      <c r="F70" s="8">
        <v>1.86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195</v>
      </c>
      <c r="C71" s="12">
        <v>7</v>
      </c>
      <c r="D71" s="8">
        <v>1.1399999999999999</v>
      </c>
      <c r="E71" s="12">
        <v>6</v>
      </c>
      <c r="F71" s="8">
        <v>1.6</v>
      </c>
      <c r="G71" s="12">
        <v>1</v>
      </c>
      <c r="H71" s="8">
        <v>0.43</v>
      </c>
      <c r="I71" s="12">
        <v>0</v>
      </c>
    </row>
    <row r="72" spans="2:9" ht="15" customHeight="1" x14ac:dyDescent="0.15">
      <c r="B72" t="s">
        <v>144</v>
      </c>
      <c r="C72" s="12">
        <v>7</v>
      </c>
      <c r="D72" s="8">
        <v>1.1399999999999999</v>
      </c>
      <c r="E72" s="12">
        <v>3</v>
      </c>
      <c r="F72" s="8">
        <v>0.8</v>
      </c>
      <c r="G72" s="12">
        <v>4</v>
      </c>
      <c r="H72" s="8">
        <v>1.7</v>
      </c>
      <c r="I72" s="12">
        <v>0</v>
      </c>
    </row>
    <row r="73" spans="2:9" ht="15" customHeight="1" x14ac:dyDescent="0.15">
      <c r="B73" t="s">
        <v>196</v>
      </c>
      <c r="C73" s="12">
        <v>7</v>
      </c>
      <c r="D73" s="8">
        <v>1.1399999999999999</v>
      </c>
      <c r="E73" s="12">
        <v>3</v>
      </c>
      <c r="F73" s="8">
        <v>0.8</v>
      </c>
      <c r="G73" s="12">
        <v>4</v>
      </c>
      <c r="H73" s="8">
        <v>1.7</v>
      </c>
      <c r="I73" s="12">
        <v>0</v>
      </c>
    </row>
    <row r="74" spans="2:9" ht="15" customHeight="1" x14ac:dyDescent="0.15">
      <c r="B74" t="s">
        <v>163</v>
      </c>
      <c r="C74" s="12">
        <v>7</v>
      </c>
      <c r="D74" s="8">
        <v>1.1399999999999999</v>
      </c>
      <c r="E74" s="12">
        <v>7</v>
      </c>
      <c r="F74" s="8">
        <v>1.86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405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64</v>
      </c>
      <c r="D6" s="8">
        <v>25.3</v>
      </c>
      <c r="E6" s="12">
        <v>18</v>
      </c>
      <c r="F6" s="8">
        <v>18.18</v>
      </c>
      <c r="G6" s="12">
        <v>46</v>
      </c>
      <c r="H6" s="8">
        <v>29.87</v>
      </c>
      <c r="I6" s="12">
        <v>0</v>
      </c>
    </row>
    <row r="7" spans="2:9" ht="15" customHeight="1" x14ac:dyDescent="0.15">
      <c r="B7" t="s">
        <v>64</v>
      </c>
      <c r="C7" s="12">
        <v>45</v>
      </c>
      <c r="D7" s="8">
        <v>17.79</v>
      </c>
      <c r="E7" s="12">
        <v>11</v>
      </c>
      <c r="F7" s="8">
        <v>11.11</v>
      </c>
      <c r="G7" s="12">
        <v>34</v>
      </c>
      <c r="H7" s="8">
        <v>22.08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2</v>
      </c>
      <c r="D9" s="8">
        <v>0.79</v>
      </c>
      <c r="E9" s="12">
        <v>0</v>
      </c>
      <c r="F9" s="8">
        <v>0</v>
      </c>
      <c r="G9" s="12">
        <v>2</v>
      </c>
      <c r="H9" s="8">
        <v>1.3</v>
      </c>
      <c r="I9" s="12">
        <v>0</v>
      </c>
    </row>
    <row r="10" spans="2:9" ht="15" customHeight="1" x14ac:dyDescent="0.15">
      <c r="B10" t="s">
        <v>67</v>
      </c>
      <c r="C10" s="12">
        <v>2</v>
      </c>
      <c r="D10" s="8">
        <v>0.79</v>
      </c>
      <c r="E10" s="12">
        <v>0</v>
      </c>
      <c r="F10" s="8">
        <v>0</v>
      </c>
      <c r="G10" s="12">
        <v>2</v>
      </c>
      <c r="H10" s="8">
        <v>1.3</v>
      </c>
      <c r="I10" s="12">
        <v>0</v>
      </c>
    </row>
    <row r="11" spans="2:9" ht="15" customHeight="1" x14ac:dyDescent="0.15">
      <c r="B11" t="s">
        <v>68</v>
      </c>
      <c r="C11" s="12">
        <v>55</v>
      </c>
      <c r="D11" s="8">
        <v>21.74</v>
      </c>
      <c r="E11" s="12">
        <v>21</v>
      </c>
      <c r="F11" s="8">
        <v>21.21</v>
      </c>
      <c r="G11" s="12">
        <v>34</v>
      </c>
      <c r="H11" s="8">
        <v>22.08</v>
      </c>
      <c r="I11" s="12">
        <v>0</v>
      </c>
    </row>
    <row r="12" spans="2:9" ht="15" customHeight="1" x14ac:dyDescent="0.15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70</v>
      </c>
      <c r="C13" s="12">
        <v>29</v>
      </c>
      <c r="D13" s="8">
        <v>11.46</v>
      </c>
      <c r="E13" s="12">
        <v>14</v>
      </c>
      <c r="F13" s="8">
        <v>14.14</v>
      </c>
      <c r="G13" s="12">
        <v>15</v>
      </c>
      <c r="H13" s="8">
        <v>9.74</v>
      </c>
      <c r="I13" s="12">
        <v>0</v>
      </c>
    </row>
    <row r="14" spans="2:9" ht="15" customHeight="1" x14ac:dyDescent="0.15">
      <c r="B14" t="s">
        <v>71</v>
      </c>
      <c r="C14" s="12">
        <v>7</v>
      </c>
      <c r="D14" s="8">
        <v>2.77</v>
      </c>
      <c r="E14" s="12">
        <v>1</v>
      </c>
      <c r="F14" s="8">
        <v>1.01</v>
      </c>
      <c r="G14" s="12">
        <v>6</v>
      </c>
      <c r="H14" s="8">
        <v>3.9</v>
      </c>
      <c r="I14" s="12">
        <v>0</v>
      </c>
    </row>
    <row r="15" spans="2:9" ht="15" customHeight="1" x14ac:dyDescent="0.15">
      <c r="B15" t="s">
        <v>72</v>
      </c>
      <c r="C15" s="12">
        <v>10</v>
      </c>
      <c r="D15" s="8">
        <v>3.95</v>
      </c>
      <c r="E15" s="12">
        <v>6</v>
      </c>
      <c r="F15" s="8">
        <v>6.06</v>
      </c>
      <c r="G15" s="12">
        <v>4</v>
      </c>
      <c r="H15" s="8">
        <v>2.6</v>
      </c>
      <c r="I15" s="12">
        <v>0</v>
      </c>
    </row>
    <row r="16" spans="2:9" ht="15" customHeight="1" x14ac:dyDescent="0.15">
      <c r="B16" t="s">
        <v>73</v>
      </c>
      <c r="C16" s="12">
        <v>21</v>
      </c>
      <c r="D16" s="8">
        <v>8.3000000000000007</v>
      </c>
      <c r="E16" s="12">
        <v>18</v>
      </c>
      <c r="F16" s="8">
        <v>18.18</v>
      </c>
      <c r="G16" s="12">
        <v>3</v>
      </c>
      <c r="H16" s="8">
        <v>1.95</v>
      </c>
      <c r="I16" s="12">
        <v>0</v>
      </c>
    </row>
    <row r="17" spans="2:9" ht="15" customHeight="1" x14ac:dyDescent="0.15">
      <c r="B17" t="s">
        <v>74</v>
      </c>
      <c r="C17" s="12">
        <v>4</v>
      </c>
      <c r="D17" s="8">
        <v>1.58</v>
      </c>
      <c r="E17" s="12">
        <v>3</v>
      </c>
      <c r="F17" s="8">
        <v>3.03</v>
      </c>
      <c r="G17" s="12">
        <v>1</v>
      </c>
      <c r="H17" s="8">
        <v>0.65</v>
      </c>
      <c r="I17" s="12">
        <v>0</v>
      </c>
    </row>
    <row r="18" spans="2:9" ht="15" customHeight="1" x14ac:dyDescent="0.15">
      <c r="B18" t="s">
        <v>75</v>
      </c>
      <c r="C18" s="12">
        <v>5</v>
      </c>
      <c r="D18" s="8">
        <v>1.98</v>
      </c>
      <c r="E18" s="12">
        <v>4</v>
      </c>
      <c r="F18" s="8">
        <v>4.04</v>
      </c>
      <c r="G18" s="12">
        <v>1</v>
      </c>
      <c r="H18" s="8">
        <v>0.65</v>
      </c>
      <c r="I18" s="12">
        <v>0</v>
      </c>
    </row>
    <row r="19" spans="2:9" ht="15" customHeight="1" x14ac:dyDescent="0.15">
      <c r="B19" t="s">
        <v>76</v>
      </c>
      <c r="C19" s="12">
        <v>9</v>
      </c>
      <c r="D19" s="8">
        <v>3.56</v>
      </c>
      <c r="E19" s="12">
        <v>3</v>
      </c>
      <c r="F19" s="8">
        <v>3.03</v>
      </c>
      <c r="G19" s="12">
        <v>6</v>
      </c>
      <c r="H19" s="8">
        <v>3.9</v>
      </c>
      <c r="I19" s="12">
        <v>0</v>
      </c>
    </row>
    <row r="20" spans="2:9" ht="15" customHeight="1" x14ac:dyDescent="0.15">
      <c r="B20" s="9" t="s">
        <v>216</v>
      </c>
      <c r="C20" s="12">
        <f>SUM(LTBL_14361[総数／事業所数])</f>
        <v>253</v>
      </c>
      <c r="E20" s="12">
        <f>SUBTOTAL(109,LTBL_14361[個人／事業所数])</f>
        <v>99</v>
      </c>
      <c r="G20" s="12">
        <f>SUBTOTAL(109,LTBL_14361[法人／事業所数])</f>
        <v>154</v>
      </c>
      <c r="I20" s="12">
        <f>SUBTOTAL(109,LTBL_14361[法人以外の団体／事業所数])</f>
        <v>0</v>
      </c>
    </row>
    <row r="21" spans="2:9" ht="15" customHeight="1" x14ac:dyDescent="0.15">
      <c r="E21" s="11">
        <f>LTBL_14361[[#Totals],[個人／事業所数]]/LTBL_14361[[#Totals],[総数／事業所数]]</f>
        <v>0.39130434782608697</v>
      </c>
      <c r="G21" s="11">
        <f>LTBL_14361[[#Totals],[法人／事業所数]]/LTBL_14361[[#Totals],[総数／事業所数]]</f>
        <v>0.60869565217391308</v>
      </c>
      <c r="I21" s="11">
        <f>LTBL_14361[[#Totals],[法人以外の団体／事業所数]]/LTBL_14361[[#Totals],[総数／事業所数]]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406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7</v>
      </c>
      <c r="D24" t="s">
        <v>217</v>
      </c>
      <c r="E24">
        <v>0</v>
      </c>
      <c r="F24" t="s">
        <v>219</v>
      </c>
      <c r="G24">
        <v>7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407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85</v>
      </c>
      <c r="C29" s="12">
        <v>30</v>
      </c>
      <c r="D29" s="8">
        <v>11.86</v>
      </c>
      <c r="E29" s="12">
        <v>6</v>
      </c>
      <c r="F29" s="8">
        <v>6.06</v>
      </c>
      <c r="G29" s="12">
        <v>24</v>
      </c>
      <c r="H29" s="8">
        <v>15.58</v>
      </c>
      <c r="I29" s="12">
        <v>0</v>
      </c>
    </row>
    <row r="30" spans="2:9" ht="15" customHeight="1" x14ac:dyDescent="0.15">
      <c r="B30" t="s">
        <v>96</v>
      </c>
      <c r="C30" s="12">
        <v>23</v>
      </c>
      <c r="D30" s="8">
        <v>9.09</v>
      </c>
      <c r="E30" s="12">
        <v>13</v>
      </c>
      <c r="F30" s="8">
        <v>13.13</v>
      </c>
      <c r="G30" s="12">
        <v>10</v>
      </c>
      <c r="H30" s="8">
        <v>6.49</v>
      </c>
      <c r="I30" s="12">
        <v>0</v>
      </c>
    </row>
    <row r="31" spans="2:9" ht="15" customHeight="1" x14ac:dyDescent="0.15">
      <c r="B31" t="s">
        <v>86</v>
      </c>
      <c r="C31" s="12">
        <v>22</v>
      </c>
      <c r="D31" s="8">
        <v>8.6999999999999993</v>
      </c>
      <c r="E31" s="12">
        <v>8</v>
      </c>
      <c r="F31" s="8">
        <v>8.08</v>
      </c>
      <c r="G31" s="12">
        <v>14</v>
      </c>
      <c r="H31" s="8">
        <v>9.09</v>
      </c>
      <c r="I31" s="12">
        <v>0</v>
      </c>
    </row>
    <row r="32" spans="2:9" ht="15" customHeight="1" x14ac:dyDescent="0.15">
      <c r="B32" t="s">
        <v>100</v>
      </c>
      <c r="C32" s="12">
        <v>19</v>
      </c>
      <c r="D32" s="8">
        <v>7.51</v>
      </c>
      <c r="E32" s="12">
        <v>17</v>
      </c>
      <c r="F32" s="8">
        <v>17.170000000000002</v>
      </c>
      <c r="G32" s="12">
        <v>2</v>
      </c>
      <c r="H32" s="8">
        <v>1.3</v>
      </c>
      <c r="I32" s="12">
        <v>0</v>
      </c>
    </row>
    <row r="33" spans="2:9" ht="15" customHeight="1" x14ac:dyDescent="0.15">
      <c r="B33" t="s">
        <v>88</v>
      </c>
      <c r="C33" s="12">
        <v>13</v>
      </c>
      <c r="D33" s="8">
        <v>5.14</v>
      </c>
      <c r="E33" s="12">
        <v>2</v>
      </c>
      <c r="F33" s="8">
        <v>2.02</v>
      </c>
      <c r="G33" s="12">
        <v>11</v>
      </c>
      <c r="H33" s="8">
        <v>7.14</v>
      </c>
      <c r="I33" s="12">
        <v>0</v>
      </c>
    </row>
    <row r="34" spans="2:9" ht="15" customHeight="1" x14ac:dyDescent="0.15">
      <c r="B34" t="s">
        <v>93</v>
      </c>
      <c r="C34" s="12">
        <v>13</v>
      </c>
      <c r="D34" s="8">
        <v>5.14</v>
      </c>
      <c r="E34" s="12">
        <v>4</v>
      </c>
      <c r="F34" s="8">
        <v>4.04</v>
      </c>
      <c r="G34" s="12">
        <v>9</v>
      </c>
      <c r="H34" s="8">
        <v>5.84</v>
      </c>
      <c r="I34" s="12">
        <v>0</v>
      </c>
    </row>
    <row r="35" spans="2:9" ht="15" customHeight="1" x14ac:dyDescent="0.15">
      <c r="B35" t="s">
        <v>87</v>
      </c>
      <c r="C35" s="12">
        <v>12</v>
      </c>
      <c r="D35" s="8">
        <v>4.74</v>
      </c>
      <c r="E35" s="12">
        <v>4</v>
      </c>
      <c r="F35" s="8">
        <v>4.04</v>
      </c>
      <c r="G35" s="12">
        <v>8</v>
      </c>
      <c r="H35" s="8">
        <v>5.19</v>
      </c>
      <c r="I35" s="12">
        <v>0</v>
      </c>
    </row>
    <row r="36" spans="2:9" ht="15" customHeight="1" x14ac:dyDescent="0.15">
      <c r="B36" t="s">
        <v>99</v>
      </c>
      <c r="C36" s="12">
        <v>9</v>
      </c>
      <c r="D36" s="8">
        <v>3.56</v>
      </c>
      <c r="E36" s="12">
        <v>6</v>
      </c>
      <c r="F36" s="8">
        <v>6.06</v>
      </c>
      <c r="G36" s="12">
        <v>3</v>
      </c>
      <c r="H36" s="8">
        <v>1.95</v>
      </c>
      <c r="I36" s="12">
        <v>0</v>
      </c>
    </row>
    <row r="37" spans="2:9" ht="15" customHeight="1" x14ac:dyDescent="0.15">
      <c r="B37" t="s">
        <v>92</v>
      </c>
      <c r="C37" s="12">
        <v>8</v>
      </c>
      <c r="D37" s="8">
        <v>3.16</v>
      </c>
      <c r="E37" s="12">
        <v>6</v>
      </c>
      <c r="F37" s="8">
        <v>6.06</v>
      </c>
      <c r="G37" s="12">
        <v>2</v>
      </c>
      <c r="H37" s="8">
        <v>1.3</v>
      </c>
      <c r="I37" s="12">
        <v>0</v>
      </c>
    </row>
    <row r="38" spans="2:9" ht="15" customHeight="1" x14ac:dyDescent="0.15">
      <c r="B38" t="s">
        <v>94</v>
      </c>
      <c r="C38" s="12">
        <v>8</v>
      </c>
      <c r="D38" s="8">
        <v>3.16</v>
      </c>
      <c r="E38" s="12">
        <v>4</v>
      </c>
      <c r="F38" s="8">
        <v>4.04</v>
      </c>
      <c r="G38" s="12">
        <v>4</v>
      </c>
      <c r="H38" s="8">
        <v>2.6</v>
      </c>
      <c r="I38" s="12">
        <v>0</v>
      </c>
    </row>
    <row r="39" spans="2:9" ht="15" customHeight="1" x14ac:dyDescent="0.15">
      <c r="B39" t="s">
        <v>89</v>
      </c>
      <c r="C39" s="12">
        <v>7</v>
      </c>
      <c r="D39" s="8">
        <v>2.77</v>
      </c>
      <c r="E39" s="12">
        <v>3</v>
      </c>
      <c r="F39" s="8">
        <v>3.03</v>
      </c>
      <c r="G39" s="12">
        <v>4</v>
      </c>
      <c r="H39" s="8">
        <v>2.6</v>
      </c>
      <c r="I39" s="12">
        <v>0</v>
      </c>
    </row>
    <row r="40" spans="2:9" ht="15" customHeight="1" x14ac:dyDescent="0.15">
      <c r="B40" t="s">
        <v>118</v>
      </c>
      <c r="C40" s="12">
        <v>7</v>
      </c>
      <c r="D40" s="8">
        <v>2.77</v>
      </c>
      <c r="E40" s="12">
        <v>1</v>
      </c>
      <c r="F40" s="8">
        <v>1.01</v>
      </c>
      <c r="G40" s="12">
        <v>6</v>
      </c>
      <c r="H40" s="8">
        <v>3.9</v>
      </c>
      <c r="I40" s="12">
        <v>0</v>
      </c>
    </row>
    <row r="41" spans="2:9" ht="15" customHeight="1" x14ac:dyDescent="0.15">
      <c r="B41" t="s">
        <v>117</v>
      </c>
      <c r="C41" s="12">
        <v>7</v>
      </c>
      <c r="D41" s="8">
        <v>2.77</v>
      </c>
      <c r="E41" s="12">
        <v>2</v>
      </c>
      <c r="F41" s="8">
        <v>2.02</v>
      </c>
      <c r="G41" s="12">
        <v>5</v>
      </c>
      <c r="H41" s="8">
        <v>3.25</v>
      </c>
      <c r="I41" s="12">
        <v>0</v>
      </c>
    </row>
    <row r="42" spans="2:9" ht="15" customHeight="1" x14ac:dyDescent="0.15">
      <c r="B42" t="s">
        <v>123</v>
      </c>
      <c r="C42" s="12">
        <v>6</v>
      </c>
      <c r="D42" s="8">
        <v>2.37</v>
      </c>
      <c r="E42" s="12">
        <v>2</v>
      </c>
      <c r="F42" s="8">
        <v>2.02</v>
      </c>
      <c r="G42" s="12">
        <v>4</v>
      </c>
      <c r="H42" s="8">
        <v>2.6</v>
      </c>
      <c r="I42" s="12">
        <v>0</v>
      </c>
    </row>
    <row r="43" spans="2:9" ht="15" customHeight="1" x14ac:dyDescent="0.15">
      <c r="B43" t="s">
        <v>106</v>
      </c>
      <c r="C43" s="12">
        <v>6</v>
      </c>
      <c r="D43" s="8">
        <v>2.37</v>
      </c>
      <c r="E43" s="12">
        <v>1</v>
      </c>
      <c r="F43" s="8">
        <v>1.01</v>
      </c>
      <c r="G43" s="12">
        <v>5</v>
      </c>
      <c r="H43" s="8">
        <v>3.25</v>
      </c>
      <c r="I43" s="12">
        <v>0</v>
      </c>
    </row>
    <row r="44" spans="2:9" ht="15" customHeight="1" x14ac:dyDescent="0.15">
      <c r="B44" t="s">
        <v>107</v>
      </c>
      <c r="C44" s="12">
        <v>5</v>
      </c>
      <c r="D44" s="8">
        <v>1.98</v>
      </c>
      <c r="E44" s="12">
        <v>2</v>
      </c>
      <c r="F44" s="8">
        <v>2.02</v>
      </c>
      <c r="G44" s="12">
        <v>3</v>
      </c>
      <c r="H44" s="8">
        <v>1.95</v>
      </c>
      <c r="I44" s="12">
        <v>0</v>
      </c>
    </row>
    <row r="45" spans="2:9" ht="15" customHeight="1" x14ac:dyDescent="0.15">
      <c r="B45" t="s">
        <v>103</v>
      </c>
      <c r="C45" s="12">
        <v>5</v>
      </c>
      <c r="D45" s="8">
        <v>1.98</v>
      </c>
      <c r="E45" s="12">
        <v>4</v>
      </c>
      <c r="F45" s="8">
        <v>4.04</v>
      </c>
      <c r="G45" s="12">
        <v>1</v>
      </c>
      <c r="H45" s="8">
        <v>0.65</v>
      </c>
      <c r="I45" s="12">
        <v>0</v>
      </c>
    </row>
    <row r="46" spans="2:9" ht="15" customHeight="1" x14ac:dyDescent="0.15">
      <c r="B46" t="s">
        <v>124</v>
      </c>
      <c r="C46" s="12">
        <v>4</v>
      </c>
      <c r="D46" s="8">
        <v>1.58</v>
      </c>
      <c r="E46" s="12">
        <v>3</v>
      </c>
      <c r="F46" s="8">
        <v>3.03</v>
      </c>
      <c r="G46" s="12">
        <v>1</v>
      </c>
      <c r="H46" s="8">
        <v>0.65</v>
      </c>
      <c r="I46" s="12">
        <v>0</v>
      </c>
    </row>
    <row r="47" spans="2:9" ht="15" customHeight="1" x14ac:dyDescent="0.15">
      <c r="B47" t="s">
        <v>95</v>
      </c>
      <c r="C47" s="12">
        <v>4</v>
      </c>
      <c r="D47" s="8">
        <v>1.58</v>
      </c>
      <c r="E47" s="12">
        <v>1</v>
      </c>
      <c r="F47" s="8">
        <v>1.01</v>
      </c>
      <c r="G47" s="12">
        <v>3</v>
      </c>
      <c r="H47" s="8">
        <v>1.95</v>
      </c>
      <c r="I47" s="12">
        <v>0</v>
      </c>
    </row>
    <row r="48" spans="2:9" ht="15" customHeight="1" x14ac:dyDescent="0.15">
      <c r="B48" t="s">
        <v>98</v>
      </c>
      <c r="C48" s="12">
        <v>4</v>
      </c>
      <c r="D48" s="8">
        <v>1.58</v>
      </c>
      <c r="E48" s="12">
        <v>0</v>
      </c>
      <c r="F48" s="8">
        <v>0</v>
      </c>
      <c r="G48" s="12">
        <v>4</v>
      </c>
      <c r="H48" s="8">
        <v>2.6</v>
      </c>
      <c r="I48" s="12">
        <v>0</v>
      </c>
    </row>
    <row r="49" spans="2:9" ht="15" customHeight="1" x14ac:dyDescent="0.15">
      <c r="B49" t="s">
        <v>102</v>
      </c>
      <c r="C49" s="12">
        <v>4</v>
      </c>
      <c r="D49" s="8">
        <v>1.58</v>
      </c>
      <c r="E49" s="12">
        <v>3</v>
      </c>
      <c r="F49" s="8">
        <v>3.03</v>
      </c>
      <c r="G49" s="12">
        <v>1</v>
      </c>
      <c r="H49" s="8">
        <v>0.65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174</v>
      </c>
      <c r="C53" s="12">
        <v>10</v>
      </c>
      <c r="D53" s="8">
        <v>3.95</v>
      </c>
      <c r="E53" s="12">
        <v>6</v>
      </c>
      <c r="F53" s="8">
        <v>6.06</v>
      </c>
      <c r="G53" s="12">
        <v>4</v>
      </c>
      <c r="H53" s="8">
        <v>2.6</v>
      </c>
      <c r="I53" s="12">
        <v>0</v>
      </c>
    </row>
    <row r="54" spans="2:9" ht="15" customHeight="1" x14ac:dyDescent="0.15">
      <c r="B54" t="s">
        <v>144</v>
      </c>
      <c r="C54" s="12">
        <v>10</v>
      </c>
      <c r="D54" s="8">
        <v>3.95</v>
      </c>
      <c r="E54" s="12">
        <v>3</v>
      </c>
      <c r="F54" s="8">
        <v>3.03</v>
      </c>
      <c r="G54" s="12">
        <v>7</v>
      </c>
      <c r="H54" s="8">
        <v>4.55</v>
      </c>
      <c r="I54" s="12">
        <v>0</v>
      </c>
    </row>
    <row r="55" spans="2:9" ht="15" customHeight="1" x14ac:dyDescent="0.15">
      <c r="B55" t="s">
        <v>155</v>
      </c>
      <c r="C55" s="12">
        <v>10</v>
      </c>
      <c r="D55" s="8">
        <v>3.95</v>
      </c>
      <c r="E55" s="12">
        <v>10</v>
      </c>
      <c r="F55" s="8">
        <v>10.1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138</v>
      </c>
      <c r="C56" s="12">
        <v>9</v>
      </c>
      <c r="D56" s="8">
        <v>3.56</v>
      </c>
      <c r="E56" s="12">
        <v>0</v>
      </c>
      <c r="F56" s="8">
        <v>0</v>
      </c>
      <c r="G56" s="12">
        <v>9</v>
      </c>
      <c r="H56" s="8">
        <v>5.84</v>
      </c>
      <c r="I56" s="12">
        <v>0</v>
      </c>
    </row>
    <row r="57" spans="2:9" ht="15" customHeight="1" x14ac:dyDescent="0.15">
      <c r="B57" t="s">
        <v>139</v>
      </c>
      <c r="C57" s="12">
        <v>9</v>
      </c>
      <c r="D57" s="8">
        <v>3.56</v>
      </c>
      <c r="E57" s="12">
        <v>0</v>
      </c>
      <c r="F57" s="8">
        <v>0</v>
      </c>
      <c r="G57" s="12">
        <v>9</v>
      </c>
      <c r="H57" s="8">
        <v>5.84</v>
      </c>
      <c r="I57" s="12">
        <v>0</v>
      </c>
    </row>
    <row r="58" spans="2:9" ht="15" customHeight="1" x14ac:dyDescent="0.15">
      <c r="B58" t="s">
        <v>148</v>
      </c>
      <c r="C58" s="12">
        <v>9</v>
      </c>
      <c r="D58" s="8">
        <v>3.56</v>
      </c>
      <c r="E58" s="12">
        <v>6</v>
      </c>
      <c r="F58" s="8">
        <v>6.06</v>
      </c>
      <c r="G58" s="12">
        <v>3</v>
      </c>
      <c r="H58" s="8">
        <v>1.95</v>
      </c>
      <c r="I58" s="12">
        <v>0</v>
      </c>
    </row>
    <row r="59" spans="2:9" ht="15" customHeight="1" x14ac:dyDescent="0.15">
      <c r="B59" t="s">
        <v>160</v>
      </c>
      <c r="C59" s="12">
        <v>8</v>
      </c>
      <c r="D59" s="8">
        <v>3.16</v>
      </c>
      <c r="E59" s="12">
        <v>2</v>
      </c>
      <c r="F59" s="8">
        <v>2.02</v>
      </c>
      <c r="G59" s="12">
        <v>6</v>
      </c>
      <c r="H59" s="8">
        <v>3.9</v>
      </c>
      <c r="I59" s="12">
        <v>0</v>
      </c>
    </row>
    <row r="60" spans="2:9" ht="15" customHeight="1" x14ac:dyDescent="0.15">
      <c r="B60" t="s">
        <v>181</v>
      </c>
      <c r="C60" s="12">
        <v>7</v>
      </c>
      <c r="D60" s="8">
        <v>2.77</v>
      </c>
      <c r="E60" s="12">
        <v>2</v>
      </c>
      <c r="F60" s="8">
        <v>2.02</v>
      </c>
      <c r="G60" s="12">
        <v>5</v>
      </c>
      <c r="H60" s="8">
        <v>3.25</v>
      </c>
      <c r="I60" s="12">
        <v>0</v>
      </c>
    </row>
    <row r="61" spans="2:9" ht="15" customHeight="1" x14ac:dyDescent="0.15">
      <c r="B61" t="s">
        <v>191</v>
      </c>
      <c r="C61" s="12">
        <v>6</v>
      </c>
      <c r="D61" s="8">
        <v>2.37</v>
      </c>
      <c r="E61" s="12">
        <v>3</v>
      </c>
      <c r="F61" s="8">
        <v>3.03</v>
      </c>
      <c r="G61" s="12">
        <v>3</v>
      </c>
      <c r="H61" s="8">
        <v>1.95</v>
      </c>
      <c r="I61" s="12">
        <v>0</v>
      </c>
    </row>
    <row r="62" spans="2:9" ht="15" customHeight="1" x14ac:dyDescent="0.15">
      <c r="B62" t="s">
        <v>140</v>
      </c>
      <c r="C62" s="12">
        <v>6</v>
      </c>
      <c r="D62" s="8">
        <v>2.37</v>
      </c>
      <c r="E62" s="12">
        <v>2</v>
      </c>
      <c r="F62" s="8">
        <v>2.02</v>
      </c>
      <c r="G62" s="12">
        <v>4</v>
      </c>
      <c r="H62" s="8">
        <v>2.6</v>
      </c>
      <c r="I62" s="12">
        <v>0</v>
      </c>
    </row>
    <row r="63" spans="2:9" ht="15" customHeight="1" x14ac:dyDescent="0.15">
      <c r="B63" t="s">
        <v>176</v>
      </c>
      <c r="C63" s="12">
        <v>6</v>
      </c>
      <c r="D63" s="8">
        <v>2.37</v>
      </c>
      <c r="E63" s="12">
        <v>1</v>
      </c>
      <c r="F63" s="8">
        <v>1.01</v>
      </c>
      <c r="G63" s="12">
        <v>5</v>
      </c>
      <c r="H63" s="8">
        <v>3.25</v>
      </c>
      <c r="I63" s="12">
        <v>0</v>
      </c>
    </row>
    <row r="64" spans="2:9" ht="15" customHeight="1" x14ac:dyDescent="0.15">
      <c r="B64" t="s">
        <v>143</v>
      </c>
      <c r="C64" s="12">
        <v>6</v>
      </c>
      <c r="D64" s="8">
        <v>2.37</v>
      </c>
      <c r="E64" s="12">
        <v>5</v>
      </c>
      <c r="F64" s="8">
        <v>5.05</v>
      </c>
      <c r="G64" s="12">
        <v>1</v>
      </c>
      <c r="H64" s="8">
        <v>0.65</v>
      </c>
      <c r="I64" s="12">
        <v>0</v>
      </c>
    </row>
    <row r="65" spans="2:9" ht="15" customHeight="1" x14ac:dyDescent="0.15">
      <c r="B65" t="s">
        <v>147</v>
      </c>
      <c r="C65" s="12">
        <v>6</v>
      </c>
      <c r="D65" s="8">
        <v>2.37</v>
      </c>
      <c r="E65" s="12">
        <v>3</v>
      </c>
      <c r="F65" s="8">
        <v>3.03</v>
      </c>
      <c r="G65" s="12">
        <v>3</v>
      </c>
      <c r="H65" s="8">
        <v>1.95</v>
      </c>
      <c r="I65" s="12">
        <v>0</v>
      </c>
    </row>
    <row r="66" spans="2:9" ht="15" customHeight="1" x14ac:dyDescent="0.15">
      <c r="B66" t="s">
        <v>154</v>
      </c>
      <c r="C66" s="12">
        <v>6</v>
      </c>
      <c r="D66" s="8">
        <v>2.37</v>
      </c>
      <c r="E66" s="12">
        <v>6</v>
      </c>
      <c r="F66" s="8">
        <v>6.06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177</v>
      </c>
      <c r="C67" s="12">
        <v>5</v>
      </c>
      <c r="D67" s="8">
        <v>1.98</v>
      </c>
      <c r="E67" s="12">
        <v>1</v>
      </c>
      <c r="F67" s="8">
        <v>1.01</v>
      </c>
      <c r="G67" s="12">
        <v>4</v>
      </c>
      <c r="H67" s="8">
        <v>2.6</v>
      </c>
      <c r="I67" s="12">
        <v>0</v>
      </c>
    </row>
    <row r="68" spans="2:9" ht="15" customHeight="1" x14ac:dyDescent="0.15">
      <c r="B68" t="s">
        <v>193</v>
      </c>
      <c r="C68" s="12">
        <v>5</v>
      </c>
      <c r="D68" s="8">
        <v>1.98</v>
      </c>
      <c r="E68" s="12">
        <v>1</v>
      </c>
      <c r="F68" s="8">
        <v>1.01</v>
      </c>
      <c r="G68" s="12">
        <v>4</v>
      </c>
      <c r="H68" s="8">
        <v>2.6</v>
      </c>
      <c r="I68" s="12">
        <v>0</v>
      </c>
    </row>
    <row r="69" spans="2:9" ht="15" customHeight="1" x14ac:dyDescent="0.15">
      <c r="B69" t="s">
        <v>196</v>
      </c>
      <c r="C69" s="12">
        <v>5</v>
      </c>
      <c r="D69" s="8">
        <v>1.98</v>
      </c>
      <c r="E69" s="12">
        <v>1</v>
      </c>
      <c r="F69" s="8">
        <v>1.01</v>
      </c>
      <c r="G69" s="12">
        <v>4</v>
      </c>
      <c r="H69" s="8">
        <v>2.6</v>
      </c>
      <c r="I69" s="12">
        <v>0</v>
      </c>
    </row>
    <row r="70" spans="2:9" ht="15" customHeight="1" x14ac:dyDescent="0.15">
      <c r="B70" t="s">
        <v>173</v>
      </c>
      <c r="C70" s="12">
        <v>5</v>
      </c>
      <c r="D70" s="8">
        <v>1.98</v>
      </c>
      <c r="E70" s="12">
        <v>4</v>
      </c>
      <c r="F70" s="8">
        <v>4.04</v>
      </c>
      <c r="G70" s="12">
        <v>1</v>
      </c>
      <c r="H70" s="8">
        <v>0.65</v>
      </c>
      <c r="I70" s="12">
        <v>0</v>
      </c>
    </row>
    <row r="71" spans="2:9" ht="15" customHeight="1" x14ac:dyDescent="0.15">
      <c r="B71" t="s">
        <v>178</v>
      </c>
      <c r="C71" s="12">
        <v>4</v>
      </c>
      <c r="D71" s="8">
        <v>1.58</v>
      </c>
      <c r="E71" s="12">
        <v>0</v>
      </c>
      <c r="F71" s="8">
        <v>0</v>
      </c>
      <c r="G71" s="12">
        <v>4</v>
      </c>
      <c r="H71" s="8">
        <v>2.6</v>
      </c>
      <c r="I71" s="12">
        <v>0</v>
      </c>
    </row>
    <row r="72" spans="2:9" ht="15" customHeight="1" x14ac:dyDescent="0.15">
      <c r="B72" t="s">
        <v>141</v>
      </c>
      <c r="C72" s="12">
        <v>4</v>
      </c>
      <c r="D72" s="8">
        <v>1.58</v>
      </c>
      <c r="E72" s="12">
        <v>2</v>
      </c>
      <c r="F72" s="8">
        <v>2.02</v>
      </c>
      <c r="G72" s="12">
        <v>2</v>
      </c>
      <c r="H72" s="8">
        <v>1.3</v>
      </c>
      <c r="I72" s="12">
        <v>0</v>
      </c>
    </row>
    <row r="73" spans="2:9" ht="15" customHeight="1" x14ac:dyDescent="0.15">
      <c r="B73" t="s">
        <v>197</v>
      </c>
      <c r="C73" s="12">
        <v>4</v>
      </c>
      <c r="D73" s="8">
        <v>1.58</v>
      </c>
      <c r="E73" s="12">
        <v>2</v>
      </c>
      <c r="F73" s="8">
        <v>2.02</v>
      </c>
      <c r="G73" s="12">
        <v>2</v>
      </c>
      <c r="H73" s="8">
        <v>1.3</v>
      </c>
      <c r="I73" s="12">
        <v>0</v>
      </c>
    </row>
    <row r="74" spans="2:9" ht="15" customHeight="1" x14ac:dyDescent="0.15">
      <c r="B74" t="s">
        <v>145</v>
      </c>
      <c r="C74" s="12">
        <v>4</v>
      </c>
      <c r="D74" s="8">
        <v>1.58</v>
      </c>
      <c r="E74" s="12">
        <v>3</v>
      </c>
      <c r="F74" s="8">
        <v>3.03</v>
      </c>
      <c r="G74" s="12">
        <v>1</v>
      </c>
      <c r="H74" s="8">
        <v>0.65</v>
      </c>
      <c r="I74" s="12">
        <v>0</v>
      </c>
    </row>
    <row r="76" spans="2:9" ht="15" customHeight="1" x14ac:dyDescent="0.15">
      <c r="B76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408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1</v>
      </c>
      <c r="D5" s="8">
        <v>0.24</v>
      </c>
      <c r="E5" s="12">
        <v>0</v>
      </c>
      <c r="F5" s="8">
        <v>0</v>
      </c>
      <c r="G5" s="12">
        <v>1</v>
      </c>
      <c r="H5" s="8">
        <v>0.6</v>
      </c>
      <c r="I5" s="12">
        <v>0</v>
      </c>
    </row>
    <row r="6" spans="2:9" ht="15" customHeight="1" x14ac:dyDescent="0.15">
      <c r="B6" t="s">
        <v>63</v>
      </c>
      <c r="C6" s="12">
        <v>77</v>
      </c>
      <c r="D6" s="8">
        <v>18.29</v>
      </c>
      <c r="E6" s="12">
        <v>29</v>
      </c>
      <c r="F6" s="8">
        <v>11.42</v>
      </c>
      <c r="G6" s="12">
        <v>48</v>
      </c>
      <c r="H6" s="8">
        <v>28.92</v>
      </c>
      <c r="I6" s="12">
        <v>0</v>
      </c>
    </row>
    <row r="7" spans="2:9" ht="15" customHeight="1" x14ac:dyDescent="0.15">
      <c r="B7" t="s">
        <v>64</v>
      </c>
      <c r="C7" s="12">
        <v>28</v>
      </c>
      <c r="D7" s="8">
        <v>6.65</v>
      </c>
      <c r="E7" s="12">
        <v>9</v>
      </c>
      <c r="F7" s="8">
        <v>3.54</v>
      </c>
      <c r="G7" s="12">
        <v>19</v>
      </c>
      <c r="H7" s="8">
        <v>11.45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67</v>
      </c>
      <c r="C10" s="12">
        <v>7</v>
      </c>
      <c r="D10" s="8">
        <v>1.66</v>
      </c>
      <c r="E10" s="12">
        <v>1</v>
      </c>
      <c r="F10" s="8">
        <v>0.39</v>
      </c>
      <c r="G10" s="12">
        <v>6</v>
      </c>
      <c r="H10" s="8">
        <v>3.61</v>
      </c>
      <c r="I10" s="12">
        <v>0</v>
      </c>
    </row>
    <row r="11" spans="2:9" ht="15" customHeight="1" x14ac:dyDescent="0.15">
      <c r="B11" t="s">
        <v>68</v>
      </c>
      <c r="C11" s="12">
        <v>66</v>
      </c>
      <c r="D11" s="8">
        <v>15.68</v>
      </c>
      <c r="E11" s="12">
        <v>41</v>
      </c>
      <c r="F11" s="8">
        <v>16.14</v>
      </c>
      <c r="G11" s="12">
        <v>25</v>
      </c>
      <c r="H11" s="8">
        <v>15.06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0.24</v>
      </c>
      <c r="E12" s="12">
        <v>0</v>
      </c>
      <c r="F12" s="8">
        <v>0</v>
      </c>
      <c r="G12" s="12">
        <v>1</v>
      </c>
      <c r="H12" s="8">
        <v>0.6</v>
      </c>
      <c r="I12" s="12">
        <v>0</v>
      </c>
    </row>
    <row r="13" spans="2:9" ht="15" customHeight="1" x14ac:dyDescent="0.15">
      <c r="B13" t="s">
        <v>70</v>
      </c>
      <c r="C13" s="12">
        <v>102</v>
      </c>
      <c r="D13" s="8">
        <v>24.23</v>
      </c>
      <c r="E13" s="12">
        <v>75</v>
      </c>
      <c r="F13" s="8">
        <v>29.53</v>
      </c>
      <c r="G13" s="12">
        <v>27</v>
      </c>
      <c r="H13" s="8">
        <v>16.27</v>
      </c>
      <c r="I13" s="12">
        <v>0</v>
      </c>
    </row>
    <row r="14" spans="2:9" ht="15" customHeight="1" x14ac:dyDescent="0.15">
      <c r="B14" t="s">
        <v>71</v>
      </c>
      <c r="C14" s="12">
        <v>13</v>
      </c>
      <c r="D14" s="8">
        <v>3.09</v>
      </c>
      <c r="E14" s="12">
        <v>6</v>
      </c>
      <c r="F14" s="8">
        <v>2.36</v>
      </c>
      <c r="G14" s="12">
        <v>7</v>
      </c>
      <c r="H14" s="8">
        <v>4.22</v>
      </c>
      <c r="I14" s="12">
        <v>0</v>
      </c>
    </row>
    <row r="15" spans="2:9" ht="15" customHeight="1" x14ac:dyDescent="0.15">
      <c r="B15" t="s">
        <v>72</v>
      </c>
      <c r="C15" s="12">
        <v>46</v>
      </c>
      <c r="D15" s="8">
        <v>10.93</v>
      </c>
      <c r="E15" s="12">
        <v>40</v>
      </c>
      <c r="F15" s="8">
        <v>15.75</v>
      </c>
      <c r="G15" s="12">
        <v>5</v>
      </c>
      <c r="H15" s="8">
        <v>3.01</v>
      </c>
      <c r="I15" s="12">
        <v>1</v>
      </c>
    </row>
    <row r="16" spans="2:9" ht="15" customHeight="1" x14ac:dyDescent="0.15">
      <c r="B16" t="s">
        <v>73</v>
      </c>
      <c r="C16" s="12">
        <v>40</v>
      </c>
      <c r="D16" s="8">
        <v>9.5</v>
      </c>
      <c r="E16" s="12">
        <v>29</v>
      </c>
      <c r="F16" s="8">
        <v>11.42</v>
      </c>
      <c r="G16" s="12">
        <v>11</v>
      </c>
      <c r="H16" s="8">
        <v>6.63</v>
      </c>
      <c r="I16" s="12">
        <v>0</v>
      </c>
    </row>
    <row r="17" spans="2:9" ht="15" customHeight="1" x14ac:dyDescent="0.15">
      <c r="B17" t="s">
        <v>74</v>
      </c>
      <c r="C17" s="12">
        <v>9</v>
      </c>
      <c r="D17" s="8">
        <v>2.14</v>
      </c>
      <c r="E17" s="12">
        <v>8</v>
      </c>
      <c r="F17" s="8">
        <v>3.15</v>
      </c>
      <c r="G17" s="12">
        <v>1</v>
      </c>
      <c r="H17" s="8">
        <v>0.6</v>
      </c>
      <c r="I17" s="12">
        <v>0</v>
      </c>
    </row>
    <row r="18" spans="2:9" ht="15" customHeight="1" x14ac:dyDescent="0.15">
      <c r="B18" t="s">
        <v>75</v>
      </c>
      <c r="C18" s="12">
        <v>18</v>
      </c>
      <c r="D18" s="8">
        <v>4.28</v>
      </c>
      <c r="E18" s="12">
        <v>11</v>
      </c>
      <c r="F18" s="8">
        <v>4.33</v>
      </c>
      <c r="G18" s="12">
        <v>7</v>
      </c>
      <c r="H18" s="8">
        <v>4.22</v>
      </c>
      <c r="I18" s="12">
        <v>0</v>
      </c>
    </row>
    <row r="19" spans="2:9" ht="15" customHeight="1" x14ac:dyDescent="0.15">
      <c r="B19" t="s">
        <v>76</v>
      </c>
      <c r="C19" s="12">
        <v>13</v>
      </c>
      <c r="D19" s="8">
        <v>3.09</v>
      </c>
      <c r="E19" s="12">
        <v>5</v>
      </c>
      <c r="F19" s="8">
        <v>1.97</v>
      </c>
      <c r="G19" s="12">
        <v>8</v>
      </c>
      <c r="H19" s="8">
        <v>4.82</v>
      </c>
      <c r="I19" s="12">
        <v>0</v>
      </c>
    </row>
    <row r="20" spans="2:9" ht="15" customHeight="1" x14ac:dyDescent="0.15">
      <c r="B20" s="9" t="s">
        <v>216</v>
      </c>
      <c r="C20" s="12">
        <f>SUM(LTBL_14362[総数／事業所数])</f>
        <v>421</v>
      </c>
      <c r="E20" s="12">
        <f>SUBTOTAL(109,LTBL_14362[個人／事業所数])</f>
        <v>254</v>
      </c>
      <c r="G20" s="12">
        <f>SUBTOTAL(109,LTBL_14362[法人／事業所数])</f>
        <v>166</v>
      </c>
      <c r="I20" s="12">
        <f>SUBTOTAL(109,LTBL_14362[法人以外の団体／事業所数])</f>
        <v>1</v>
      </c>
    </row>
    <row r="21" spans="2:9" ht="15" customHeight="1" x14ac:dyDescent="0.15">
      <c r="E21" s="11">
        <f>LTBL_14362[[#Totals],[個人／事業所数]]/LTBL_14362[[#Totals],[総数／事業所数]]</f>
        <v>0.60332541567695963</v>
      </c>
      <c r="G21" s="11">
        <f>LTBL_14362[[#Totals],[法人／事業所数]]/LTBL_14362[[#Totals],[総数／事業所数]]</f>
        <v>0.39429928741092635</v>
      </c>
      <c r="I21" s="11">
        <f>LTBL_14362[[#Totals],[法人以外の団体／事業所数]]/LTBL_14362[[#Totals],[総数／事業所数]]</f>
        <v>2.3752969121140144E-3</v>
      </c>
    </row>
    <row r="23" spans="2:9" ht="33" customHeight="1" x14ac:dyDescent="0.15">
      <c r="B23" t="s">
        <v>215</v>
      </c>
      <c r="C23" s="10" t="s">
        <v>78</v>
      </c>
      <c r="D23" s="10" t="s">
        <v>409</v>
      </c>
      <c r="E23" s="10" t="s">
        <v>80</v>
      </c>
      <c r="F23" s="10" t="s">
        <v>410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2</v>
      </c>
      <c r="D24" t="s">
        <v>217</v>
      </c>
      <c r="E24">
        <v>0</v>
      </c>
      <c r="F24" t="s">
        <v>219</v>
      </c>
      <c r="G24">
        <v>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411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99</v>
      </c>
      <c r="D29" s="8">
        <v>23.52</v>
      </c>
      <c r="E29" s="12">
        <v>75</v>
      </c>
      <c r="F29" s="8">
        <v>29.53</v>
      </c>
      <c r="G29" s="12">
        <v>24</v>
      </c>
      <c r="H29" s="8">
        <v>14.46</v>
      </c>
      <c r="I29" s="12">
        <v>0</v>
      </c>
    </row>
    <row r="30" spans="2:9" ht="15" customHeight="1" x14ac:dyDescent="0.15">
      <c r="B30" t="s">
        <v>99</v>
      </c>
      <c r="C30" s="12">
        <v>44</v>
      </c>
      <c r="D30" s="8">
        <v>10.45</v>
      </c>
      <c r="E30" s="12">
        <v>40</v>
      </c>
      <c r="F30" s="8">
        <v>15.75</v>
      </c>
      <c r="G30" s="12">
        <v>3</v>
      </c>
      <c r="H30" s="8">
        <v>1.81</v>
      </c>
      <c r="I30" s="12">
        <v>1</v>
      </c>
    </row>
    <row r="31" spans="2:9" ht="15" customHeight="1" x14ac:dyDescent="0.15">
      <c r="B31" t="s">
        <v>85</v>
      </c>
      <c r="C31" s="12">
        <v>36</v>
      </c>
      <c r="D31" s="8">
        <v>8.5500000000000007</v>
      </c>
      <c r="E31" s="12">
        <v>13</v>
      </c>
      <c r="F31" s="8">
        <v>5.12</v>
      </c>
      <c r="G31" s="12">
        <v>23</v>
      </c>
      <c r="H31" s="8">
        <v>13.86</v>
      </c>
      <c r="I31" s="12">
        <v>0</v>
      </c>
    </row>
    <row r="32" spans="2:9" ht="15" customHeight="1" x14ac:dyDescent="0.15">
      <c r="B32" t="s">
        <v>100</v>
      </c>
      <c r="C32" s="12">
        <v>30</v>
      </c>
      <c r="D32" s="8">
        <v>7.13</v>
      </c>
      <c r="E32" s="12">
        <v>26</v>
      </c>
      <c r="F32" s="8">
        <v>10.24</v>
      </c>
      <c r="G32" s="12">
        <v>4</v>
      </c>
      <c r="H32" s="8">
        <v>2.41</v>
      </c>
      <c r="I32" s="12">
        <v>0</v>
      </c>
    </row>
    <row r="33" spans="2:9" ht="15" customHeight="1" x14ac:dyDescent="0.15">
      <c r="B33" t="s">
        <v>86</v>
      </c>
      <c r="C33" s="12">
        <v>24</v>
      </c>
      <c r="D33" s="8">
        <v>5.7</v>
      </c>
      <c r="E33" s="12">
        <v>13</v>
      </c>
      <c r="F33" s="8">
        <v>5.12</v>
      </c>
      <c r="G33" s="12">
        <v>11</v>
      </c>
      <c r="H33" s="8">
        <v>6.63</v>
      </c>
      <c r="I33" s="12">
        <v>0</v>
      </c>
    </row>
    <row r="34" spans="2:9" ht="15" customHeight="1" x14ac:dyDescent="0.15">
      <c r="B34" t="s">
        <v>87</v>
      </c>
      <c r="C34" s="12">
        <v>17</v>
      </c>
      <c r="D34" s="8">
        <v>4.04</v>
      </c>
      <c r="E34" s="12">
        <v>3</v>
      </c>
      <c r="F34" s="8">
        <v>1.18</v>
      </c>
      <c r="G34" s="12">
        <v>14</v>
      </c>
      <c r="H34" s="8">
        <v>8.43</v>
      </c>
      <c r="I34" s="12">
        <v>0</v>
      </c>
    </row>
    <row r="35" spans="2:9" ht="15" customHeight="1" x14ac:dyDescent="0.15">
      <c r="B35" t="s">
        <v>92</v>
      </c>
      <c r="C35" s="12">
        <v>16</v>
      </c>
      <c r="D35" s="8">
        <v>3.8</v>
      </c>
      <c r="E35" s="12">
        <v>13</v>
      </c>
      <c r="F35" s="8">
        <v>5.12</v>
      </c>
      <c r="G35" s="12">
        <v>3</v>
      </c>
      <c r="H35" s="8">
        <v>1.81</v>
      </c>
      <c r="I35" s="12">
        <v>0</v>
      </c>
    </row>
    <row r="36" spans="2:9" ht="15" customHeight="1" x14ac:dyDescent="0.15">
      <c r="B36" t="s">
        <v>94</v>
      </c>
      <c r="C36" s="12">
        <v>14</v>
      </c>
      <c r="D36" s="8">
        <v>3.33</v>
      </c>
      <c r="E36" s="12">
        <v>8</v>
      </c>
      <c r="F36" s="8">
        <v>3.15</v>
      </c>
      <c r="G36" s="12">
        <v>6</v>
      </c>
      <c r="H36" s="8">
        <v>3.61</v>
      </c>
      <c r="I36" s="12">
        <v>0</v>
      </c>
    </row>
    <row r="37" spans="2:9" ht="15" customHeight="1" x14ac:dyDescent="0.15">
      <c r="B37" t="s">
        <v>103</v>
      </c>
      <c r="C37" s="12">
        <v>14</v>
      </c>
      <c r="D37" s="8">
        <v>3.33</v>
      </c>
      <c r="E37" s="12">
        <v>11</v>
      </c>
      <c r="F37" s="8">
        <v>4.33</v>
      </c>
      <c r="G37" s="12">
        <v>3</v>
      </c>
      <c r="H37" s="8">
        <v>1.81</v>
      </c>
      <c r="I37" s="12">
        <v>0</v>
      </c>
    </row>
    <row r="38" spans="2:9" ht="15" customHeight="1" x14ac:dyDescent="0.15">
      <c r="B38" t="s">
        <v>93</v>
      </c>
      <c r="C38" s="12">
        <v>13</v>
      </c>
      <c r="D38" s="8">
        <v>3.09</v>
      </c>
      <c r="E38" s="12">
        <v>9</v>
      </c>
      <c r="F38" s="8">
        <v>3.54</v>
      </c>
      <c r="G38" s="12">
        <v>4</v>
      </c>
      <c r="H38" s="8">
        <v>2.41</v>
      </c>
      <c r="I38" s="12">
        <v>0</v>
      </c>
    </row>
    <row r="39" spans="2:9" ht="15" customHeight="1" x14ac:dyDescent="0.15">
      <c r="B39" t="s">
        <v>102</v>
      </c>
      <c r="C39" s="12">
        <v>9</v>
      </c>
      <c r="D39" s="8">
        <v>2.14</v>
      </c>
      <c r="E39" s="12">
        <v>8</v>
      </c>
      <c r="F39" s="8">
        <v>3.15</v>
      </c>
      <c r="G39" s="12">
        <v>1</v>
      </c>
      <c r="H39" s="8">
        <v>0.6</v>
      </c>
      <c r="I39" s="12">
        <v>0</v>
      </c>
    </row>
    <row r="40" spans="2:9" ht="15" customHeight="1" x14ac:dyDescent="0.15">
      <c r="B40" t="s">
        <v>106</v>
      </c>
      <c r="C40" s="12">
        <v>7</v>
      </c>
      <c r="D40" s="8">
        <v>1.66</v>
      </c>
      <c r="E40" s="12">
        <v>3</v>
      </c>
      <c r="F40" s="8">
        <v>1.18</v>
      </c>
      <c r="G40" s="12">
        <v>4</v>
      </c>
      <c r="H40" s="8">
        <v>2.41</v>
      </c>
      <c r="I40" s="12">
        <v>0</v>
      </c>
    </row>
    <row r="41" spans="2:9" ht="15" customHeight="1" x14ac:dyDescent="0.15">
      <c r="B41" t="s">
        <v>98</v>
      </c>
      <c r="C41" s="12">
        <v>7</v>
      </c>
      <c r="D41" s="8">
        <v>1.66</v>
      </c>
      <c r="E41" s="12">
        <v>4</v>
      </c>
      <c r="F41" s="8">
        <v>1.57</v>
      </c>
      <c r="G41" s="12">
        <v>3</v>
      </c>
      <c r="H41" s="8">
        <v>1.81</v>
      </c>
      <c r="I41" s="12">
        <v>0</v>
      </c>
    </row>
    <row r="42" spans="2:9" ht="15" customHeight="1" x14ac:dyDescent="0.15">
      <c r="B42" t="s">
        <v>104</v>
      </c>
      <c r="C42" s="12">
        <v>7</v>
      </c>
      <c r="D42" s="8">
        <v>1.66</v>
      </c>
      <c r="E42" s="12">
        <v>2</v>
      </c>
      <c r="F42" s="8">
        <v>0.79</v>
      </c>
      <c r="G42" s="12">
        <v>5</v>
      </c>
      <c r="H42" s="8">
        <v>3.01</v>
      </c>
      <c r="I42" s="12">
        <v>0</v>
      </c>
    </row>
    <row r="43" spans="2:9" ht="15" customHeight="1" x14ac:dyDescent="0.15">
      <c r="B43" t="s">
        <v>122</v>
      </c>
      <c r="C43" s="12">
        <v>6</v>
      </c>
      <c r="D43" s="8">
        <v>1.43</v>
      </c>
      <c r="E43" s="12">
        <v>3</v>
      </c>
      <c r="F43" s="8">
        <v>1.18</v>
      </c>
      <c r="G43" s="12">
        <v>3</v>
      </c>
      <c r="H43" s="8">
        <v>1.81</v>
      </c>
      <c r="I43" s="12">
        <v>0</v>
      </c>
    </row>
    <row r="44" spans="2:9" ht="15" customHeight="1" x14ac:dyDescent="0.15">
      <c r="B44" t="s">
        <v>105</v>
      </c>
      <c r="C44" s="12">
        <v>6</v>
      </c>
      <c r="D44" s="8">
        <v>1.43</v>
      </c>
      <c r="E44" s="12">
        <v>2</v>
      </c>
      <c r="F44" s="8">
        <v>0.79</v>
      </c>
      <c r="G44" s="12">
        <v>4</v>
      </c>
      <c r="H44" s="8">
        <v>2.41</v>
      </c>
      <c r="I44" s="12">
        <v>0</v>
      </c>
    </row>
    <row r="45" spans="2:9" ht="15" customHeight="1" x14ac:dyDescent="0.15">
      <c r="B45" t="s">
        <v>116</v>
      </c>
      <c r="C45" s="12">
        <v>6</v>
      </c>
      <c r="D45" s="8">
        <v>1.43</v>
      </c>
      <c r="E45" s="12">
        <v>2</v>
      </c>
      <c r="F45" s="8">
        <v>0.79</v>
      </c>
      <c r="G45" s="12">
        <v>4</v>
      </c>
      <c r="H45" s="8">
        <v>2.41</v>
      </c>
      <c r="I45" s="12">
        <v>0</v>
      </c>
    </row>
    <row r="46" spans="2:9" ht="15" customHeight="1" x14ac:dyDescent="0.15">
      <c r="B46" t="s">
        <v>91</v>
      </c>
      <c r="C46" s="12">
        <v>5</v>
      </c>
      <c r="D46" s="8">
        <v>1.19</v>
      </c>
      <c r="E46" s="12">
        <v>4</v>
      </c>
      <c r="F46" s="8">
        <v>1.57</v>
      </c>
      <c r="G46" s="12">
        <v>1</v>
      </c>
      <c r="H46" s="8">
        <v>0.6</v>
      </c>
      <c r="I46" s="12">
        <v>0</v>
      </c>
    </row>
    <row r="47" spans="2:9" ht="15" customHeight="1" x14ac:dyDescent="0.15">
      <c r="B47" t="s">
        <v>97</v>
      </c>
      <c r="C47" s="12">
        <v>5</v>
      </c>
      <c r="D47" s="8">
        <v>1.19</v>
      </c>
      <c r="E47" s="12">
        <v>2</v>
      </c>
      <c r="F47" s="8">
        <v>0.79</v>
      </c>
      <c r="G47" s="12">
        <v>3</v>
      </c>
      <c r="H47" s="8">
        <v>1.81</v>
      </c>
      <c r="I47" s="12">
        <v>0</v>
      </c>
    </row>
    <row r="48" spans="2:9" ht="15" customHeight="1" x14ac:dyDescent="0.15">
      <c r="B48" t="s">
        <v>101</v>
      </c>
      <c r="C48" s="12">
        <v>4</v>
      </c>
      <c r="D48" s="8">
        <v>0.95</v>
      </c>
      <c r="E48" s="12">
        <v>1</v>
      </c>
      <c r="F48" s="8">
        <v>0.39</v>
      </c>
      <c r="G48" s="12">
        <v>3</v>
      </c>
      <c r="H48" s="8">
        <v>1.81</v>
      </c>
      <c r="I48" s="12">
        <v>0</v>
      </c>
    </row>
    <row r="49" spans="2:9" ht="15" customHeight="1" x14ac:dyDescent="0.15">
      <c r="B49" t="s">
        <v>108</v>
      </c>
      <c r="C49" s="12">
        <v>4</v>
      </c>
      <c r="D49" s="8">
        <v>0.95</v>
      </c>
      <c r="E49" s="12">
        <v>0</v>
      </c>
      <c r="F49" s="8">
        <v>0</v>
      </c>
      <c r="G49" s="12">
        <v>4</v>
      </c>
      <c r="H49" s="8">
        <v>2.41</v>
      </c>
      <c r="I49" s="12">
        <v>0</v>
      </c>
    </row>
    <row r="50" spans="2:9" ht="15" customHeight="1" x14ac:dyDescent="0.15">
      <c r="B50" t="s">
        <v>117</v>
      </c>
      <c r="C50" s="12">
        <v>4</v>
      </c>
      <c r="D50" s="8">
        <v>0.95</v>
      </c>
      <c r="E50" s="12">
        <v>2</v>
      </c>
      <c r="F50" s="8">
        <v>0.79</v>
      </c>
      <c r="G50" s="12">
        <v>2</v>
      </c>
      <c r="H50" s="8">
        <v>1.2</v>
      </c>
      <c r="I50" s="12">
        <v>0</v>
      </c>
    </row>
    <row r="53" spans="2:9" ht="33" customHeight="1" x14ac:dyDescent="0.15">
      <c r="B53" t="s">
        <v>412</v>
      </c>
      <c r="C53" s="10" t="s">
        <v>78</v>
      </c>
      <c r="D53" s="10" t="s">
        <v>79</v>
      </c>
      <c r="E53" s="10" t="s">
        <v>80</v>
      </c>
      <c r="F53" s="10" t="s">
        <v>81</v>
      </c>
      <c r="G53" s="10" t="s">
        <v>82</v>
      </c>
      <c r="H53" s="10" t="s">
        <v>83</v>
      </c>
      <c r="I53" s="10" t="s">
        <v>84</v>
      </c>
    </row>
    <row r="54" spans="2:9" ht="15" customHeight="1" x14ac:dyDescent="0.15">
      <c r="B54" t="s">
        <v>148</v>
      </c>
      <c r="C54" s="12">
        <v>67</v>
      </c>
      <c r="D54" s="8">
        <v>15.91</v>
      </c>
      <c r="E54" s="12">
        <v>60</v>
      </c>
      <c r="F54" s="8">
        <v>23.62</v>
      </c>
      <c r="G54" s="12">
        <v>7</v>
      </c>
      <c r="H54" s="8">
        <v>4.22</v>
      </c>
      <c r="I54" s="12">
        <v>0</v>
      </c>
    </row>
    <row r="55" spans="2:9" ht="15" customHeight="1" x14ac:dyDescent="0.15">
      <c r="B55" t="s">
        <v>147</v>
      </c>
      <c r="C55" s="12">
        <v>23</v>
      </c>
      <c r="D55" s="8">
        <v>5.46</v>
      </c>
      <c r="E55" s="12">
        <v>13</v>
      </c>
      <c r="F55" s="8">
        <v>5.12</v>
      </c>
      <c r="G55" s="12">
        <v>10</v>
      </c>
      <c r="H55" s="8">
        <v>6.02</v>
      </c>
      <c r="I55" s="12">
        <v>0</v>
      </c>
    </row>
    <row r="56" spans="2:9" ht="15" customHeight="1" x14ac:dyDescent="0.15">
      <c r="B56" t="s">
        <v>150</v>
      </c>
      <c r="C56" s="12">
        <v>19</v>
      </c>
      <c r="D56" s="8">
        <v>4.51</v>
      </c>
      <c r="E56" s="12">
        <v>19</v>
      </c>
      <c r="F56" s="8">
        <v>7.48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155</v>
      </c>
      <c r="C57" s="12">
        <v>18</v>
      </c>
      <c r="D57" s="8">
        <v>4.28</v>
      </c>
      <c r="E57" s="12">
        <v>17</v>
      </c>
      <c r="F57" s="8">
        <v>6.69</v>
      </c>
      <c r="G57" s="12">
        <v>1</v>
      </c>
      <c r="H57" s="8">
        <v>0.6</v>
      </c>
      <c r="I57" s="12">
        <v>0</v>
      </c>
    </row>
    <row r="58" spans="2:9" ht="15" customHeight="1" x14ac:dyDescent="0.15">
      <c r="B58" t="s">
        <v>138</v>
      </c>
      <c r="C58" s="12">
        <v>11</v>
      </c>
      <c r="D58" s="8">
        <v>2.61</v>
      </c>
      <c r="E58" s="12">
        <v>4</v>
      </c>
      <c r="F58" s="8">
        <v>1.57</v>
      </c>
      <c r="G58" s="12">
        <v>7</v>
      </c>
      <c r="H58" s="8">
        <v>4.22</v>
      </c>
      <c r="I58" s="12">
        <v>0</v>
      </c>
    </row>
    <row r="59" spans="2:9" ht="15" customHeight="1" x14ac:dyDescent="0.15">
      <c r="B59" t="s">
        <v>144</v>
      </c>
      <c r="C59" s="12">
        <v>11</v>
      </c>
      <c r="D59" s="8">
        <v>2.61</v>
      </c>
      <c r="E59" s="12">
        <v>7</v>
      </c>
      <c r="F59" s="8">
        <v>2.76</v>
      </c>
      <c r="G59" s="12">
        <v>4</v>
      </c>
      <c r="H59" s="8">
        <v>2.41</v>
      </c>
      <c r="I59" s="12">
        <v>0</v>
      </c>
    </row>
    <row r="60" spans="2:9" ht="15" customHeight="1" x14ac:dyDescent="0.15">
      <c r="B60" t="s">
        <v>152</v>
      </c>
      <c r="C60" s="12">
        <v>11</v>
      </c>
      <c r="D60" s="8">
        <v>2.61</v>
      </c>
      <c r="E60" s="12">
        <v>11</v>
      </c>
      <c r="F60" s="8">
        <v>4.33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157</v>
      </c>
      <c r="C61" s="12">
        <v>10</v>
      </c>
      <c r="D61" s="8">
        <v>2.38</v>
      </c>
      <c r="E61" s="12">
        <v>8</v>
      </c>
      <c r="F61" s="8">
        <v>3.15</v>
      </c>
      <c r="G61" s="12">
        <v>2</v>
      </c>
      <c r="H61" s="8">
        <v>1.2</v>
      </c>
      <c r="I61" s="12">
        <v>0</v>
      </c>
    </row>
    <row r="62" spans="2:9" ht="15" customHeight="1" x14ac:dyDescent="0.15">
      <c r="B62" t="s">
        <v>174</v>
      </c>
      <c r="C62" s="12">
        <v>9</v>
      </c>
      <c r="D62" s="8">
        <v>2.14</v>
      </c>
      <c r="E62" s="12">
        <v>6</v>
      </c>
      <c r="F62" s="8">
        <v>2.36</v>
      </c>
      <c r="G62" s="12">
        <v>3</v>
      </c>
      <c r="H62" s="8">
        <v>1.81</v>
      </c>
      <c r="I62" s="12">
        <v>0</v>
      </c>
    </row>
    <row r="63" spans="2:9" ht="15" customHeight="1" x14ac:dyDescent="0.15">
      <c r="B63" t="s">
        <v>140</v>
      </c>
      <c r="C63" s="12">
        <v>8</v>
      </c>
      <c r="D63" s="8">
        <v>1.9</v>
      </c>
      <c r="E63" s="12">
        <v>2</v>
      </c>
      <c r="F63" s="8">
        <v>0.79</v>
      </c>
      <c r="G63" s="12">
        <v>6</v>
      </c>
      <c r="H63" s="8">
        <v>3.61</v>
      </c>
      <c r="I63" s="12">
        <v>0</v>
      </c>
    </row>
    <row r="64" spans="2:9" ht="15" customHeight="1" x14ac:dyDescent="0.15">
      <c r="B64" t="s">
        <v>139</v>
      </c>
      <c r="C64" s="12">
        <v>7</v>
      </c>
      <c r="D64" s="8">
        <v>1.66</v>
      </c>
      <c r="E64" s="12">
        <v>1</v>
      </c>
      <c r="F64" s="8">
        <v>0.39</v>
      </c>
      <c r="G64" s="12">
        <v>6</v>
      </c>
      <c r="H64" s="8">
        <v>3.61</v>
      </c>
      <c r="I64" s="12">
        <v>0</v>
      </c>
    </row>
    <row r="65" spans="2:9" ht="15" customHeight="1" x14ac:dyDescent="0.15">
      <c r="B65" t="s">
        <v>160</v>
      </c>
      <c r="C65" s="12">
        <v>7</v>
      </c>
      <c r="D65" s="8">
        <v>1.66</v>
      </c>
      <c r="E65" s="12">
        <v>3</v>
      </c>
      <c r="F65" s="8">
        <v>1.18</v>
      </c>
      <c r="G65" s="12">
        <v>4</v>
      </c>
      <c r="H65" s="8">
        <v>2.41</v>
      </c>
      <c r="I65" s="12">
        <v>0</v>
      </c>
    </row>
    <row r="66" spans="2:9" ht="15" customHeight="1" x14ac:dyDescent="0.15">
      <c r="B66" t="s">
        <v>141</v>
      </c>
      <c r="C66" s="12">
        <v>7</v>
      </c>
      <c r="D66" s="8">
        <v>1.66</v>
      </c>
      <c r="E66" s="12">
        <v>1</v>
      </c>
      <c r="F66" s="8">
        <v>0.39</v>
      </c>
      <c r="G66" s="12">
        <v>6</v>
      </c>
      <c r="H66" s="8">
        <v>3.61</v>
      </c>
      <c r="I66" s="12">
        <v>0</v>
      </c>
    </row>
    <row r="67" spans="2:9" ht="15" customHeight="1" x14ac:dyDescent="0.15">
      <c r="B67" t="s">
        <v>149</v>
      </c>
      <c r="C67" s="12">
        <v>7</v>
      </c>
      <c r="D67" s="8">
        <v>1.66</v>
      </c>
      <c r="E67" s="12">
        <v>0</v>
      </c>
      <c r="F67" s="8">
        <v>0</v>
      </c>
      <c r="G67" s="12">
        <v>7</v>
      </c>
      <c r="H67" s="8">
        <v>4.22</v>
      </c>
      <c r="I67" s="12">
        <v>0</v>
      </c>
    </row>
    <row r="68" spans="2:9" ht="15" customHeight="1" x14ac:dyDescent="0.15">
      <c r="B68" t="s">
        <v>154</v>
      </c>
      <c r="C68" s="12">
        <v>7</v>
      </c>
      <c r="D68" s="8">
        <v>1.66</v>
      </c>
      <c r="E68" s="12">
        <v>6</v>
      </c>
      <c r="F68" s="8">
        <v>2.36</v>
      </c>
      <c r="G68" s="12">
        <v>1</v>
      </c>
      <c r="H68" s="8">
        <v>0.6</v>
      </c>
      <c r="I68" s="12">
        <v>0</v>
      </c>
    </row>
    <row r="69" spans="2:9" ht="15" customHeight="1" x14ac:dyDescent="0.15">
      <c r="B69" t="s">
        <v>158</v>
      </c>
      <c r="C69" s="12">
        <v>6</v>
      </c>
      <c r="D69" s="8">
        <v>1.43</v>
      </c>
      <c r="E69" s="12">
        <v>2</v>
      </c>
      <c r="F69" s="8">
        <v>0.79</v>
      </c>
      <c r="G69" s="12">
        <v>4</v>
      </c>
      <c r="H69" s="8">
        <v>2.41</v>
      </c>
      <c r="I69" s="12">
        <v>0</v>
      </c>
    </row>
    <row r="70" spans="2:9" ht="15" customHeight="1" x14ac:dyDescent="0.15">
      <c r="B70" t="s">
        <v>151</v>
      </c>
      <c r="C70" s="12">
        <v>6</v>
      </c>
      <c r="D70" s="8">
        <v>1.43</v>
      </c>
      <c r="E70" s="12">
        <v>5</v>
      </c>
      <c r="F70" s="8">
        <v>1.97</v>
      </c>
      <c r="G70" s="12">
        <v>1</v>
      </c>
      <c r="H70" s="8">
        <v>0.6</v>
      </c>
      <c r="I70" s="12">
        <v>0</v>
      </c>
    </row>
    <row r="71" spans="2:9" ht="15" customHeight="1" x14ac:dyDescent="0.15">
      <c r="B71" t="s">
        <v>199</v>
      </c>
      <c r="C71" s="12">
        <v>6</v>
      </c>
      <c r="D71" s="8">
        <v>1.43</v>
      </c>
      <c r="E71" s="12">
        <v>2</v>
      </c>
      <c r="F71" s="8">
        <v>0.79</v>
      </c>
      <c r="G71" s="12">
        <v>4</v>
      </c>
      <c r="H71" s="8">
        <v>2.41</v>
      </c>
      <c r="I71" s="12">
        <v>0</v>
      </c>
    </row>
    <row r="72" spans="2:9" ht="15" customHeight="1" x14ac:dyDescent="0.15">
      <c r="B72" t="s">
        <v>198</v>
      </c>
      <c r="C72" s="12">
        <v>5</v>
      </c>
      <c r="D72" s="8">
        <v>1.19</v>
      </c>
      <c r="E72" s="12">
        <v>2</v>
      </c>
      <c r="F72" s="8">
        <v>0.79</v>
      </c>
      <c r="G72" s="12">
        <v>3</v>
      </c>
      <c r="H72" s="8">
        <v>1.81</v>
      </c>
      <c r="I72" s="12">
        <v>0</v>
      </c>
    </row>
    <row r="73" spans="2:9" ht="15" customHeight="1" x14ac:dyDescent="0.15">
      <c r="B73" t="s">
        <v>193</v>
      </c>
      <c r="C73" s="12">
        <v>5</v>
      </c>
      <c r="D73" s="8">
        <v>1.19</v>
      </c>
      <c r="E73" s="12">
        <v>2</v>
      </c>
      <c r="F73" s="8">
        <v>0.79</v>
      </c>
      <c r="G73" s="12">
        <v>3</v>
      </c>
      <c r="H73" s="8">
        <v>1.81</v>
      </c>
      <c r="I73" s="12">
        <v>0</v>
      </c>
    </row>
    <row r="74" spans="2:9" ht="15" customHeight="1" x14ac:dyDescent="0.15">
      <c r="B74" t="s">
        <v>143</v>
      </c>
      <c r="C74" s="12">
        <v>5</v>
      </c>
      <c r="D74" s="8">
        <v>1.19</v>
      </c>
      <c r="E74" s="12">
        <v>2</v>
      </c>
      <c r="F74" s="8">
        <v>0.79</v>
      </c>
      <c r="G74" s="12">
        <v>3</v>
      </c>
      <c r="H74" s="8">
        <v>1.81</v>
      </c>
      <c r="I74" s="12">
        <v>0</v>
      </c>
    </row>
    <row r="75" spans="2:9" ht="15" customHeight="1" x14ac:dyDescent="0.15">
      <c r="B75" t="s">
        <v>159</v>
      </c>
      <c r="C75" s="12">
        <v>5</v>
      </c>
      <c r="D75" s="8">
        <v>1.19</v>
      </c>
      <c r="E75" s="12">
        <v>2</v>
      </c>
      <c r="F75" s="8">
        <v>0.79</v>
      </c>
      <c r="G75" s="12">
        <v>3</v>
      </c>
      <c r="H75" s="8">
        <v>1.81</v>
      </c>
      <c r="I75" s="12">
        <v>0</v>
      </c>
    </row>
    <row r="76" spans="2:9" ht="15" customHeight="1" x14ac:dyDescent="0.15">
      <c r="B76" t="s">
        <v>156</v>
      </c>
      <c r="C76" s="12">
        <v>5</v>
      </c>
      <c r="D76" s="8">
        <v>1.19</v>
      </c>
      <c r="E76" s="12">
        <v>5</v>
      </c>
      <c r="F76" s="8">
        <v>1.97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38</v>
      </c>
      <c r="D6" s="8">
        <v>10.24</v>
      </c>
      <c r="E6" s="12">
        <v>17</v>
      </c>
      <c r="F6" s="8">
        <v>6.64</v>
      </c>
      <c r="G6" s="12">
        <v>21</v>
      </c>
      <c r="H6" s="8">
        <v>18.260000000000002</v>
      </c>
      <c r="I6" s="12">
        <v>0</v>
      </c>
    </row>
    <row r="7" spans="2:9" ht="15" customHeight="1" x14ac:dyDescent="0.15">
      <c r="B7" t="s">
        <v>64</v>
      </c>
      <c r="C7" s="12">
        <v>16</v>
      </c>
      <c r="D7" s="8">
        <v>4.3099999999999996</v>
      </c>
      <c r="E7" s="12">
        <v>7</v>
      </c>
      <c r="F7" s="8">
        <v>2.73</v>
      </c>
      <c r="G7" s="12">
        <v>9</v>
      </c>
      <c r="H7" s="8">
        <v>7.83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</v>
      </c>
      <c r="D9" s="8">
        <v>1.08</v>
      </c>
      <c r="E9" s="12">
        <v>0</v>
      </c>
      <c r="F9" s="8">
        <v>0</v>
      </c>
      <c r="G9" s="12">
        <v>4</v>
      </c>
      <c r="H9" s="8">
        <v>3.48</v>
      </c>
      <c r="I9" s="12">
        <v>0</v>
      </c>
    </row>
    <row r="10" spans="2:9" ht="15" customHeight="1" x14ac:dyDescent="0.15">
      <c r="B10" t="s">
        <v>67</v>
      </c>
      <c r="C10" s="12">
        <v>4</v>
      </c>
      <c r="D10" s="8">
        <v>1.08</v>
      </c>
      <c r="E10" s="12">
        <v>1</v>
      </c>
      <c r="F10" s="8">
        <v>0.39</v>
      </c>
      <c r="G10" s="12">
        <v>3</v>
      </c>
      <c r="H10" s="8">
        <v>2.61</v>
      </c>
      <c r="I10" s="12">
        <v>0</v>
      </c>
    </row>
    <row r="11" spans="2:9" ht="15" customHeight="1" x14ac:dyDescent="0.15">
      <c r="B11" t="s">
        <v>68</v>
      </c>
      <c r="C11" s="12">
        <v>63</v>
      </c>
      <c r="D11" s="8">
        <v>16.98</v>
      </c>
      <c r="E11" s="12">
        <v>38</v>
      </c>
      <c r="F11" s="8">
        <v>14.84</v>
      </c>
      <c r="G11" s="12">
        <v>25</v>
      </c>
      <c r="H11" s="8">
        <v>21.74</v>
      </c>
      <c r="I11" s="12">
        <v>0</v>
      </c>
    </row>
    <row r="12" spans="2:9" ht="15" customHeight="1" x14ac:dyDescent="0.15">
      <c r="B12" t="s">
        <v>69</v>
      </c>
      <c r="C12" s="12">
        <v>2</v>
      </c>
      <c r="D12" s="8">
        <v>0.54</v>
      </c>
      <c r="E12" s="12">
        <v>2</v>
      </c>
      <c r="F12" s="8">
        <v>0.78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70</v>
      </c>
      <c r="C13" s="12">
        <v>114</v>
      </c>
      <c r="D13" s="8">
        <v>30.73</v>
      </c>
      <c r="E13" s="12">
        <v>94</v>
      </c>
      <c r="F13" s="8">
        <v>36.72</v>
      </c>
      <c r="G13" s="12">
        <v>20</v>
      </c>
      <c r="H13" s="8">
        <v>17.39</v>
      </c>
      <c r="I13" s="12">
        <v>0</v>
      </c>
    </row>
    <row r="14" spans="2:9" ht="15" customHeight="1" x14ac:dyDescent="0.15">
      <c r="B14" t="s">
        <v>71</v>
      </c>
      <c r="C14" s="12">
        <v>15</v>
      </c>
      <c r="D14" s="8">
        <v>4.04</v>
      </c>
      <c r="E14" s="12">
        <v>7</v>
      </c>
      <c r="F14" s="8">
        <v>2.73</v>
      </c>
      <c r="G14" s="12">
        <v>8</v>
      </c>
      <c r="H14" s="8">
        <v>6.96</v>
      </c>
      <c r="I14" s="12">
        <v>0</v>
      </c>
    </row>
    <row r="15" spans="2:9" ht="15" customHeight="1" x14ac:dyDescent="0.15">
      <c r="B15" t="s">
        <v>72</v>
      </c>
      <c r="C15" s="12">
        <v>56</v>
      </c>
      <c r="D15" s="8">
        <v>15.09</v>
      </c>
      <c r="E15" s="12">
        <v>45</v>
      </c>
      <c r="F15" s="8">
        <v>17.579999999999998</v>
      </c>
      <c r="G15" s="12">
        <v>11</v>
      </c>
      <c r="H15" s="8">
        <v>9.57</v>
      </c>
      <c r="I15" s="12">
        <v>0</v>
      </c>
    </row>
    <row r="16" spans="2:9" ht="15" customHeight="1" x14ac:dyDescent="0.15">
      <c r="B16" t="s">
        <v>73</v>
      </c>
      <c r="C16" s="12">
        <v>32</v>
      </c>
      <c r="D16" s="8">
        <v>8.6300000000000008</v>
      </c>
      <c r="E16" s="12">
        <v>31</v>
      </c>
      <c r="F16" s="8">
        <v>12.11</v>
      </c>
      <c r="G16" s="12">
        <v>1</v>
      </c>
      <c r="H16" s="8">
        <v>0.87</v>
      </c>
      <c r="I16" s="12">
        <v>0</v>
      </c>
    </row>
    <row r="17" spans="2:9" ht="15" customHeight="1" x14ac:dyDescent="0.15">
      <c r="B17" t="s">
        <v>74</v>
      </c>
      <c r="C17" s="12">
        <v>8</v>
      </c>
      <c r="D17" s="8">
        <v>2.16</v>
      </c>
      <c r="E17" s="12">
        <v>5</v>
      </c>
      <c r="F17" s="8">
        <v>1.95</v>
      </c>
      <c r="G17" s="12">
        <v>3</v>
      </c>
      <c r="H17" s="8">
        <v>2.61</v>
      </c>
      <c r="I17" s="12">
        <v>0</v>
      </c>
    </row>
    <row r="18" spans="2:9" ht="15" customHeight="1" x14ac:dyDescent="0.15">
      <c r="B18" t="s">
        <v>75</v>
      </c>
      <c r="C18" s="12">
        <v>10</v>
      </c>
      <c r="D18" s="8">
        <v>2.7</v>
      </c>
      <c r="E18" s="12">
        <v>7</v>
      </c>
      <c r="F18" s="8">
        <v>2.73</v>
      </c>
      <c r="G18" s="12">
        <v>3</v>
      </c>
      <c r="H18" s="8">
        <v>2.61</v>
      </c>
      <c r="I18" s="12">
        <v>0</v>
      </c>
    </row>
    <row r="19" spans="2:9" ht="15" customHeight="1" x14ac:dyDescent="0.15">
      <c r="B19" t="s">
        <v>76</v>
      </c>
      <c r="C19" s="12">
        <v>9</v>
      </c>
      <c r="D19" s="8">
        <v>2.4300000000000002</v>
      </c>
      <c r="E19" s="12">
        <v>2</v>
      </c>
      <c r="F19" s="8">
        <v>0.78</v>
      </c>
      <c r="G19" s="12">
        <v>7</v>
      </c>
      <c r="H19" s="8">
        <v>6.09</v>
      </c>
      <c r="I19" s="12">
        <v>0</v>
      </c>
    </row>
    <row r="20" spans="2:9" ht="15" customHeight="1" x14ac:dyDescent="0.15">
      <c r="B20" s="9" t="s">
        <v>216</v>
      </c>
      <c r="C20" s="12">
        <f>SUM(LTBL_14363[総数／事業所数])</f>
        <v>371</v>
      </c>
      <c r="E20" s="12">
        <f>SUBTOTAL(109,LTBL_14363[個人／事業所数])</f>
        <v>256</v>
      </c>
      <c r="G20" s="12">
        <f>SUBTOTAL(109,LTBL_14363[法人／事業所数])</f>
        <v>115</v>
      </c>
      <c r="I20" s="12">
        <f>SUBTOTAL(109,LTBL_14363[法人以外の団体／事業所数])</f>
        <v>0</v>
      </c>
    </row>
    <row r="21" spans="2:9" ht="15" customHeight="1" x14ac:dyDescent="0.15">
      <c r="E21" s="11">
        <f>LTBL_14363[[#Totals],[個人／事業所数]]/LTBL_14363[[#Totals],[総数／事業所数]]</f>
        <v>0.69002695417789761</v>
      </c>
      <c r="G21" s="11">
        <f>LTBL_14363[[#Totals],[法人／事業所数]]/LTBL_14363[[#Totals],[総数／事業所数]]</f>
        <v>0.30997304582210244</v>
      </c>
      <c r="I21" s="11">
        <f>LTBL_14363[[#Totals],[法人以外の団体／事業所数]]/LTBL_14363[[#Totals],[総数／事業所数]]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414</v>
      </c>
      <c r="E23" s="10" t="s">
        <v>80</v>
      </c>
      <c r="F23" s="10" t="s">
        <v>415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1</v>
      </c>
      <c r="D24" t="s">
        <v>217</v>
      </c>
      <c r="E24">
        <v>0</v>
      </c>
      <c r="F24" t="s">
        <v>219</v>
      </c>
      <c r="G24">
        <v>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110</v>
      </c>
      <c r="D29" s="8">
        <v>29.65</v>
      </c>
      <c r="E29" s="12">
        <v>94</v>
      </c>
      <c r="F29" s="8">
        <v>36.72</v>
      </c>
      <c r="G29" s="12">
        <v>16</v>
      </c>
      <c r="H29" s="8">
        <v>13.91</v>
      </c>
      <c r="I29" s="12">
        <v>0</v>
      </c>
    </row>
    <row r="30" spans="2:9" ht="15" customHeight="1" x14ac:dyDescent="0.15">
      <c r="B30" t="s">
        <v>99</v>
      </c>
      <c r="C30" s="12">
        <v>44</v>
      </c>
      <c r="D30" s="8">
        <v>11.86</v>
      </c>
      <c r="E30" s="12">
        <v>40</v>
      </c>
      <c r="F30" s="8">
        <v>15.63</v>
      </c>
      <c r="G30" s="12">
        <v>4</v>
      </c>
      <c r="H30" s="8">
        <v>3.48</v>
      </c>
      <c r="I30" s="12">
        <v>0</v>
      </c>
    </row>
    <row r="31" spans="2:9" ht="15" customHeight="1" x14ac:dyDescent="0.15">
      <c r="B31" t="s">
        <v>100</v>
      </c>
      <c r="C31" s="12">
        <v>28</v>
      </c>
      <c r="D31" s="8">
        <v>7.55</v>
      </c>
      <c r="E31" s="12">
        <v>28</v>
      </c>
      <c r="F31" s="8">
        <v>10.94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94</v>
      </c>
      <c r="C32" s="12">
        <v>19</v>
      </c>
      <c r="D32" s="8">
        <v>5.12</v>
      </c>
      <c r="E32" s="12">
        <v>11</v>
      </c>
      <c r="F32" s="8">
        <v>4.3</v>
      </c>
      <c r="G32" s="12">
        <v>8</v>
      </c>
      <c r="H32" s="8">
        <v>6.96</v>
      </c>
      <c r="I32" s="12">
        <v>0</v>
      </c>
    </row>
    <row r="33" spans="2:9" ht="15" customHeight="1" x14ac:dyDescent="0.15">
      <c r="B33" t="s">
        <v>85</v>
      </c>
      <c r="C33" s="12">
        <v>18</v>
      </c>
      <c r="D33" s="8">
        <v>4.8499999999999996</v>
      </c>
      <c r="E33" s="12">
        <v>6</v>
      </c>
      <c r="F33" s="8">
        <v>2.34</v>
      </c>
      <c r="G33" s="12">
        <v>12</v>
      </c>
      <c r="H33" s="8">
        <v>10.43</v>
      </c>
      <c r="I33" s="12">
        <v>0</v>
      </c>
    </row>
    <row r="34" spans="2:9" ht="15" customHeight="1" x14ac:dyDescent="0.15">
      <c r="B34" t="s">
        <v>92</v>
      </c>
      <c r="C34" s="12">
        <v>15</v>
      </c>
      <c r="D34" s="8">
        <v>4.04</v>
      </c>
      <c r="E34" s="12">
        <v>11</v>
      </c>
      <c r="F34" s="8">
        <v>4.3</v>
      </c>
      <c r="G34" s="12">
        <v>4</v>
      </c>
      <c r="H34" s="8">
        <v>3.48</v>
      </c>
      <c r="I34" s="12">
        <v>0</v>
      </c>
    </row>
    <row r="35" spans="2:9" ht="15" customHeight="1" x14ac:dyDescent="0.15">
      <c r="B35" t="s">
        <v>86</v>
      </c>
      <c r="C35" s="12">
        <v>12</v>
      </c>
      <c r="D35" s="8">
        <v>3.23</v>
      </c>
      <c r="E35" s="12">
        <v>8</v>
      </c>
      <c r="F35" s="8">
        <v>3.13</v>
      </c>
      <c r="G35" s="12">
        <v>4</v>
      </c>
      <c r="H35" s="8">
        <v>3.48</v>
      </c>
      <c r="I35" s="12">
        <v>0</v>
      </c>
    </row>
    <row r="36" spans="2:9" ht="15" customHeight="1" x14ac:dyDescent="0.15">
      <c r="B36" t="s">
        <v>98</v>
      </c>
      <c r="C36" s="12">
        <v>9</v>
      </c>
      <c r="D36" s="8">
        <v>2.4300000000000002</v>
      </c>
      <c r="E36" s="12">
        <v>3</v>
      </c>
      <c r="F36" s="8">
        <v>1.17</v>
      </c>
      <c r="G36" s="12">
        <v>6</v>
      </c>
      <c r="H36" s="8">
        <v>5.22</v>
      </c>
      <c r="I36" s="12">
        <v>0</v>
      </c>
    </row>
    <row r="37" spans="2:9" ht="15" customHeight="1" x14ac:dyDescent="0.15">
      <c r="B37" t="s">
        <v>87</v>
      </c>
      <c r="C37" s="12">
        <v>8</v>
      </c>
      <c r="D37" s="8">
        <v>2.16</v>
      </c>
      <c r="E37" s="12">
        <v>3</v>
      </c>
      <c r="F37" s="8">
        <v>1.17</v>
      </c>
      <c r="G37" s="12">
        <v>5</v>
      </c>
      <c r="H37" s="8">
        <v>4.3499999999999996</v>
      </c>
      <c r="I37" s="12">
        <v>0</v>
      </c>
    </row>
    <row r="38" spans="2:9" ht="15" customHeight="1" x14ac:dyDescent="0.15">
      <c r="B38" t="s">
        <v>91</v>
      </c>
      <c r="C38" s="12">
        <v>8</v>
      </c>
      <c r="D38" s="8">
        <v>2.16</v>
      </c>
      <c r="E38" s="12">
        <v>6</v>
      </c>
      <c r="F38" s="8">
        <v>2.34</v>
      </c>
      <c r="G38" s="12">
        <v>2</v>
      </c>
      <c r="H38" s="8">
        <v>1.74</v>
      </c>
      <c r="I38" s="12">
        <v>0</v>
      </c>
    </row>
    <row r="39" spans="2:9" ht="15" customHeight="1" x14ac:dyDescent="0.15">
      <c r="B39" t="s">
        <v>102</v>
      </c>
      <c r="C39" s="12">
        <v>8</v>
      </c>
      <c r="D39" s="8">
        <v>2.16</v>
      </c>
      <c r="E39" s="12">
        <v>5</v>
      </c>
      <c r="F39" s="8">
        <v>1.95</v>
      </c>
      <c r="G39" s="12">
        <v>3</v>
      </c>
      <c r="H39" s="8">
        <v>2.61</v>
      </c>
      <c r="I39" s="12">
        <v>0</v>
      </c>
    </row>
    <row r="40" spans="2:9" ht="15" customHeight="1" x14ac:dyDescent="0.15">
      <c r="B40" t="s">
        <v>103</v>
      </c>
      <c r="C40" s="12">
        <v>8</v>
      </c>
      <c r="D40" s="8">
        <v>2.16</v>
      </c>
      <c r="E40" s="12">
        <v>7</v>
      </c>
      <c r="F40" s="8">
        <v>2.73</v>
      </c>
      <c r="G40" s="12">
        <v>1</v>
      </c>
      <c r="H40" s="8">
        <v>0.87</v>
      </c>
      <c r="I40" s="12">
        <v>0</v>
      </c>
    </row>
    <row r="41" spans="2:9" ht="15" customHeight="1" x14ac:dyDescent="0.15">
      <c r="B41" t="s">
        <v>97</v>
      </c>
      <c r="C41" s="12">
        <v>6</v>
      </c>
      <c r="D41" s="8">
        <v>1.62</v>
      </c>
      <c r="E41" s="12">
        <v>4</v>
      </c>
      <c r="F41" s="8">
        <v>1.56</v>
      </c>
      <c r="G41" s="12">
        <v>2</v>
      </c>
      <c r="H41" s="8">
        <v>1.74</v>
      </c>
      <c r="I41" s="12">
        <v>0</v>
      </c>
    </row>
    <row r="42" spans="2:9" ht="15" customHeight="1" x14ac:dyDescent="0.15">
      <c r="B42" t="s">
        <v>111</v>
      </c>
      <c r="C42" s="12">
        <v>6</v>
      </c>
      <c r="D42" s="8">
        <v>1.62</v>
      </c>
      <c r="E42" s="12">
        <v>4</v>
      </c>
      <c r="F42" s="8">
        <v>1.56</v>
      </c>
      <c r="G42" s="12">
        <v>2</v>
      </c>
      <c r="H42" s="8">
        <v>1.74</v>
      </c>
      <c r="I42" s="12">
        <v>0</v>
      </c>
    </row>
    <row r="43" spans="2:9" ht="15" customHeight="1" x14ac:dyDescent="0.15">
      <c r="B43" t="s">
        <v>126</v>
      </c>
      <c r="C43" s="12">
        <v>6</v>
      </c>
      <c r="D43" s="8">
        <v>1.62</v>
      </c>
      <c r="E43" s="12">
        <v>1</v>
      </c>
      <c r="F43" s="8">
        <v>0.39</v>
      </c>
      <c r="G43" s="12">
        <v>5</v>
      </c>
      <c r="H43" s="8">
        <v>4.3499999999999996</v>
      </c>
      <c r="I43" s="12">
        <v>0</v>
      </c>
    </row>
    <row r="44" spans="2:9" ht="15" customHeight="1" x14ac:dyDescent="0.15">
      <c r="B44" t="s">
        <v>117</v>
      </c>
      <c r="C44" s="12">
        <v>6</v>
      </c>
      <c r="D44" s="8">
        <v>1.62</v>
      </c>
      <c r="E44" s="12">
        <v>2</v>
      </c>
      <c r="F44" s="8">
        <v>0.78</v>
      </c>
      <c r="G44" s="12">
        <v>4</v>
      </c>
      <c r="H44" s="8">
        <v>3.48</v>
      </c>
      <c r="I44" s="12">
        <v>0</v>
      </c>
    </row>
    <row r="45" spans="2:9" ht="15" customHeight="1" x14ac:dyDescent="0.15">
      <c r="B45" t="s">
        <v>93</v>
      </c>
      <c r="C45" s="12">
        <v>5</v>
      </c>
      <c r="D45" s="8">
        <v>1.35</v>
      </c>
      <c r="E45" s="12">
        <v>4</v>
      </c>
      <c r="F45" s="8">
        <v>1.56</v>
      </c>
      <c r="G45" s="12">
        <v>1</v>
      </c>
      <c r="H45" s="8">
        <v>0.87</v>
      </c>
      <c r="I45" s="12">
        <v>0</v>
      </c>
    </row>
    <row r="46" spans="2:9" ht="15" customHeight="1" x14ac:dyDescent="0.15">
      <c r="B46" t="s">
        <v>106</v>
      </c>
      <c r="C46" s="12">
        <v>4</v>
      </c>
      <c r="D46" s="8">
        <v>1.08</v>
      </c>
      <c r="E46" s="12">
        <v>3</v>
      </c>
      <c r="F46" s="8">
        <v>1.17</v>
      </c>
      <c r="G46" s="12">
        <v>1</v>
      </c>
      <c r="H46" s="8">
        <v>0.87</v>
      </c>
      <c r="I46" s="12">
        <v>0</v>
      </c>
    </row>
    <row r="47" spans="2:9" ht="15" customHeight="1" x14ac:dyDescent="0.15">
      <c r="B47" t="s">
        <v>105</v>
      </c>
      <c r="C47" s="12">
        <v>4</v>
      </c>
      <c r="D47" s="8">
        <v>1.08</v>
      </c>
      <c r="E47" s="12">
        <v>1</v>
      </c>
      <c r="F47" s="8">
        <v>0.39</v>
      </c>
      <c r="G47" s="12">
        <v>3</v>
      </c>
      <c r="H47" s="8">
        <v>2.61</v>
      </c>
      <c r="I47" s="12">
        <v>0</v>
      </c>
    </row>
    <row r="48" spans="2:9" ht="15" customHeight="1" x14ac:dyDescent="0.15">
      <c r="B48" t="s">
        <v>95</v>
      </c>
      <c r="C48" s="12">
        <v>3</v>
      </c>
      <c r="D48" s="8">
        <v>0.81</v>
      </c>
      <c r="E48" s="12">
        <v>0</v>
      </c>
      <c r="F48" s="8">
        <v>0</v>
      </c>
      <c r="G48" s="12">
        <v>3</v>
      </c>
      <c r="H48" s="8">
        <v>2.61</v>
      </c>
      <c r="I48" s="12">
        <v>0</v>
      </c>
    </row>
    <row r="49" spans="2:9" ht="15" customHeight="1" x14ac:dyDescent="0.15">
      <c r="B49" t="s">
        <v>116</v>
      </c>
      <c r="C49" s="12">
        <v>3</v>
      </c>
      <c r="D49" s="8">
        <v>0.81</v>
      </c>
      <c r="E49" s="12">
        <v>2</v>
      </c>
      <c r="F49" s="8">
        <v>0.78</v>
      </c>
      <c r="G49" s="12">
        <v>1</v>
      </c>
      <c r="H49" s="8">
        <v>0.87</v>
      </c>
      <c r="I49" s="12">
        <v>0</v>
      </c>
    </row>
    <row r="52" spans="2:9" ht="33" customHeight="1" x14ac:dyDescent="0.15">
      <c r="B52" t="s">
        <v>381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62</v>
      </c>
      <c r="D53" s="8">
        <v>16.71</v>
      </c>
      <c r="E53" s="12">
        <v>57</v>
      </c>
      <c r="F53" s="8">
        <v>22.27</v>
      </c>
      <c r="G53" s="12">
        <v>5</v>
      </c>
      <c r="H53" s="8">
        <v>4.3499999999999996</v>
      </c>
      <c r="I53" s="12">
        <v>0</v>
      </c>
    </row>
    <row r="54" spans="2:9" ht="15" customHeight="1" x14ac:dyDescent="0.15">
      <c r="B54" t="s">
        <v>173</v>
      </c>
      <c r="C54" s="12">
        <v>37</v>
      </c>
      <c r="D54" s="8">
        <v>9.9700000000000006</v>
      </c>
      <c r="E54" s="12">
        <v>33</v>
      </c>
      <c r="F54" s="8">
        <v>12.89</v>
      </c>
      <c r="G54" s="12">
        <v>4</v>
      </c>
      <c r="H54" s="8">
        <v>3.48</v>
      </c>
      <c r="I54" s="12">
        <v>0</v>
      </c>
    </row>
    <row r="55" spans="2:9" ht="15" customHeight="1" x14ac:dyDescent="0.15">
      <c r="B55" t="s">
        <v>155</v>
      </c>
      <c r="C55" s="12">
        <v>15</v>
      </c>
      <c r="D55" s="8">
        <v>4.04</v>
      </c>
      <c r="E55" s="12">
        <v>15</v>
      </c>
      <c r="F55" s="8">
        <v>5.86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174</v>
      </c>
      <c r="C56" s="12">
        <v>10</v>
      </c>
      <c r="D56" s="8">
        <v>2.7</v>
      </c>
      <c r="E56" s="12">
        <v>5</v>
      </c>
      <c r="F56" s="8">
        <v>1.95</v>
      </c>
      <c r="G56" s="12">
        <v>5</v>
      </c>
      <c r="H56" s="8">
        <v>4.3499999999999996</v>
      </c>
      <c r="I56" s="12">
        <v>0</v>
      </c>
    </row>
    <row r="57" spans="2:9" ht="15" customHeight="1" x14ac:dyDescent="0.15">
      <c r="B57" t="s">
        <v>183</v>
      </c>
      <c r="C57" s="12">
        <v>10</v>
      </c>
      <c r="D57" s="8">
        <v>2.7</v>
      </c>
      <c r="E57" s="12">
        <v>10</v>
      </c>
      <c r="F57" s="8">
        <v>3.91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151</v>
      </c>
      <c r="C58" s="12">
        <v>10</v>
      </c>
      <c r="D58" s="8">
        <v>2.7</v>
      </c>
      <c r="E58" s="12">
        <v>9</v>
      </c>
      <c r="F58" s="8">
        <v>3.52</v>
      </c>
      <c r="G58" s="12">
        <v>1</v>
      </c>
      <c r="H58" s="8">
        <v>0.87</v>
      </c>
      <c r="I58" s="12">
        <v>0</v>
      </c>
    </row>
    <row r="59" spans="2:9" ht="15" customHeight="1" x14ac:dyDescent="0.15">
      <c r="B59" t="s">
        <v>152</v>
      </c>
      <c r="C59" s="12">
        <v>10</v>
      </c>
      <c r="D59" s="8">
        <v>2.7</v>
      </c>
      <c r="E59" s="12">
        <v>10</v>
      </c>
      <c r="F59" s="8">
        <v>3.91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154</v>
      </c>
      <c r="C60" s="12">
        <v>8</v>
      </c>
      <c r="D60" s="8">
        <v>2.16</v>
      </c>
      <c r="E60" s="12">
        <v>8</v>
      </c>
      <c r="F60" s="8">
        <v>3.13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145</v>
      </c>
      <c r="C61" s="12">
        <v>7</v>
      </c>
      <c r="D61" s="8">
        <v>1.89</v>
      </c>
      <c r="E61" s="12">
        <v>5</v>
      </c>
      <c r="F61" s="8">
        <v>1.95</v>
      </c>
      <c r="G61" s="12">
        <v>2</v>
      </c>
      <c r="H61" s="8">
        <v>1.74</v>
      </c>
      <c r="I61" s="12">
        <v>0</v>
      </c>
    </row>
    <row r="62" spans="2:9" ht="15" customHeight="1" x14ac:dyDescent="0.15">
      <c r="B62" t="s">
        <v>159</v>
      </c>
      <c r="C62" s="12">
        <v>7</v>
      </c>
      <c r="D62" s="8">
        <v>1.89</v>
      </c>
      <c r="E62" s="12">
        <v>2</v>
      </c>
      <c r="F62" s="8">
        <v>0.78</v>
      </c>
      <c r="G62" s="12">
        <v>5</v>
      </c>
      <c r="H62" s="8">
        <v>4.3499999999999996</v>
      </c>
      <c r="I62" s="12">
        <v>0</v>
      </c>
    </row>
    <row r="63" spans="2:9" ht="15" customHeight="1" x14ac:dyDescent="0.15">
      <c r="B63" t="s">
        <v>142</v>
      </c>
      <c r="C63" s="12">
        <v>6</v>
      </c>
      <c r="D63" s="8">
        <v>1.62</v>
      </c>
      <c r="E63" s="12">
        <v>5</v>
      </c>
      <c r="F63" s="8">
        <v>1.95</v>
      </c>
      <c r="G63" s="12">
        <v>1</v>
      </c>
      <c r="H63" s="8">
        <v>0.87</v>
      </c>
      <c r="I63" s="12">
        <v>0</v>
      </c>
    </row>
    <row r="64" spans="2:9" ht="15" customHeight="1" x14ac:dyDescent="0.15">
      <c r="B64" t="s">
        <v>149</v>
      </c>
      <c r="C64" s="12">
        <v>6</v>
      </c>
      <c r="D64" s="8">
        <v>1.62</v>
      </c>
      <c r="E64" s="12">
        <v>0</v>
      </c>
      <c r="F64" s="8">
        <v>0</v>
      </c>
      <c r="G64" s="12">
        <v>6</v>
      </c>
      <c r="H64" s="8">
        <v>5.22</v>
      </c>
      <c r="I64" s="12">
        <v>0</v>
      </c>
    </row>
    <row r="65" spans="2:9" ht="15" customHeight="1" x14ac:dyDescent="0.15">
      <c r="B65" t="s">
        <v>150</v>
      </c>
      <c r="C65" s="12">
        <v>6</v>
      </c>
      <c r="D65" s="8">
        <v>1.62</v>
      </c>
      <c r="E65" s="12">
        <v>4</v>
      </c>
      <c r="F65" s="8">
        <v>1.56</v>
      </c>
      <c r="G65" s="12">
        <v>2</v>
      </c>
      <c r="H65" s="8">
        <v>1.74</v>
      </c>
      <c r="I65" s="12">
        <v>0</v>
      </c>
    </row>
    <row r="66" spans="2:9" ht="15" customHeight="1" x14ac:dyDescent="0.15">
      <c r="B66" t="s">
        <v>156</v>
      </c>
      <c r="C66" s="12">
        <v>6</v>
      </c>
      <c r="D66" s="8">
        <v>1.62</v>
      </c>
      <c r="E66" s="12">
        <v>4</v>
      </c>
      <c r="F66" s="8">
        <v>1.56</v>
      </c>
      <c r="G66" s="12">
        <v>2</v>
      </c>
      <c r="H66" s="8">
        <v>1.74</v>
      </c>
      <c r="I66" s="12">
        <v>0</v>
      </c>
    </row>
    <row r="67" spans="2:9" ht="15" customHeight="1" x14ac:dyDescent="0.15">
      <c r="B67" t="s">
        <v>181</v>
      </c>
      <c r="C67" s="12">
        <v>6</v>
      </c>
      <c r="D67" s="8">
        <v>1.62</v>
      </c>
      <c r="E67" s="12">
        <v>2</v>
      </c>
      <c r="F67" s="8">
        <v>0.78</v>
      </c>
      <c r="G67" s="12">
        <v>4</v>
      </c>
      <c r="H67" s="8">
        <v>3.48</v>
      </c>
      <c r="I67" s="12">
        <v>0</v>
      </c>
    </row>
    <row r="68" spans="2:9" ht="15" customHeight="1" x14ac:dyDescent="0.15">
      <c r="B68" t="s">
        <v>138</v>
      </c>
      <c r="C68" s="12">
        <v>5</v>
      </c>
      <c r="D68" s="8">
        <v>1.35</v>
      </c>
      <c r="E68" s="12">
        <v>0</v>
      </c>
      <c r="F68" s="8">
        <v>0</v>
      </c>
      <c r="G68" s="12">
        <v>5</v>
      </c>
      <c r="H68" s="8">
        <v>4.3499999999999996</v>
      </c>
      <c r="I68" s="12">
        <v>0</v>
      </c>
    </row>
    <row r="69" spans="2:9" ht="15" customHeight="1" x14ac:dyDescent="0.15">
      <c r="B69" t="s">
        <v>140</v>
      </c>
      <c r="C69" s="12">
        <v>5</v>
      </c>
      <c r="D69" s="8">
        <v>1.35</v>
      </c>
      <c r="E69" s="12">
        <v>2</v>
      </c>
      <c r="F69" s="8">
        <v>0.78</v>
      </c>
      <c r="G69" s="12">
        <v>3</v>
      </c>
      <c r="H69" s="8">
        <v>2.61</v>
      </c>
      <c r="I69" s="12">
        <v>0</v>
      </c>
    </row>
    <row r="70" spans="2:9" ht="15" customHeight="1" x14ac:dyDescent="0.15">
      <c r="B70" t="s">
        <v>147</v>
      </c>
      <c r="C70" s="12">
        <v>5</v>
      </c>
      <c r="D70" s="8">
        <v>1.35</v>
      </c>
      <c r="E70" s="12">
        <v>4</v>
      </c>
      <c r="F70" s="8">
        <v>1.56</v>
      </c>
      <c r="G70" s="12">
        <v>1</v>
      </c>
      <c r="H70" s="8">
        <v>0.87</v>
      </c>
      <c r="I70" s="12">
        <v>0</v>
      </c>
    </row>
    <row r="71" spans="2:9" ht="15" customHeight="1" x14ac:dyDescent="0.15">
      <c r="B71" t="s">
        <v>187</v>
      </c>
      <c r="C71" s="12">
        <v>5</v>
      </c>
      <c r="D71" s="8">
        <v>1.35</v>
      </c>
      <c r="E71" s="12">
        <v>4</v>
      </c>
      <c r="F71" s="8">
        <v>1.56</v>
      </c>
      <c r="G71" s="12">
        <v>1</v>
      </c>
      <c r="H71" s="8">
        <v>0.87</v>
      </c>
      <c r="I71" s="12">
        <v>0</v>
      </c>
    </row>
    <row r="72" spans="2:9" ht="15" customHeight="1" x14ac:dyDescent="0.15">
      <c r="B72" t="s">
        <v>200</v>
      </c>
      <c r="C72" s="12">
        <v>5</v>
      </c>
      <c r="D72" s="8">
        <v>1.35</v>
      </c>
      <c r="E72" s="12">
        <v>0</v>
      </c>
      <c r="F72" s="8">
        <v>0</v>
      </c>
      <c r="G72" s="12">
        <v>5</v>
      </c>
      <c r="H72" s="8">
        <v>4.3499999999999996</v>
      </c>
      <c r="I72" s="12">
        <v>0</v>
      </c>
    </row>
    <row r="73" spans="2:9" ht="15" customHeight="1" x14ac:dyDescent="0.15">
      <c r="B73" t="s">
        <v>157</v>
      </c>
      <c r="C73" s="12">
        <v>5</v>
      </c>
      <c r="D73" s="8">
        <v>1.35</v>
      </c>
      <c r="E73" s="12">
        <v>4</v>
      </c>
      <c r="F73" s="8">
        <v>1.56</v>
      </c>
      <c r="G73" s="12">
        <v>1</v>
      </c>
      <c r="H73" s="8">
        <v>0.87</v>
      </c>
      <c r="I73" s="12">
        <v>0</v>
      </c>
    </row>
    <row r="75" spans="2:9" ht="15" customHeight="1" x14ac:dyDescent="0.15">
      <c r="B75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1</v>
      </c>
      <c r="D5" s="8">
        <v>0.35</v>
      </c>
      <c r="E5" s="12">
        <v>0</v>
      </c>
      <c r="F5" s="8">
        <v>0</v>
      </c>
      <c r="G5" s="12">
        <v>1</v>
      </c>
      <c r="H5" s="8">
        <v>0.8</v>
      </c>
      <c r="I5" s="12">
        <v>0</v>
      </c>
    </row>
    <row r="6" spans="2:9" ht="15" customHeight="1" x14ac:dyDescent="0.15">
      <c r="B6" t="s">
        <v>63</v>
      </c>
      <c r="C6" s="12">
        <v>56</v>
      </c>
      <c r="D6" s="8">
        <v>19.72</v>
      </c>
      <c r="E6" s="12">
        <v>15</v>
      </c>
      <c r="F6" s="8">
        <v>9.5500000000000007</v>
      </c>
      <c r="G6" s="12">
        <v>41</v>
      </c>
      <c r="H6" s="8">
        <v>32.799999999999997</v>
      </c>
      <c r="I6" s="12">
        <v>0</v>
      </c>
    </row>
    <row r="7" spans="2:9" ht="15" customHeight="1" x14ac:dyDescent="0.15">
      <c r="B7" t="s">
        <v>64</v>
      </c>
      <c r="C7" s="12">
        <v>23</v>
      </c>
      <c r="D7" s="8">
        <v>8.1</v>
      </c>
      <c r="E7" s="12">
        <v>9</v>
      </c>
      <c r="F7" s="8">
        <v>5.73</v>
      </c>
      <c r="G7" s="12">
        <v>14</v>
      </c>
      <c r="H7" s="8">
        <v>11.2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67</v>
      </c>
      <c r="C10" s="12">
        <v>6</v>
      </c>
      <c r="D10" s="8">
        <v>2.11</v>
      </c>
      <c r="E10" s="12">
        <v>0</v>
      </c>
      <c r="F10" s="8">
        <v>0</v>
      </c>
      <c r="G10" s="12">
        <v>6</v>
      </c>
      <c r="H10" s="8">
        <v>4.8</v>
      </c>
      <c r="I10" s="12">
        <v>0</v>
      </c>
    </row>
    <row r="11" spans="2:9" ht="15" customHeight="1" x14ac:dyDescent="0.15">
      <c r="B11" t="s">
        <v>68</v>
      </c>
      <c r="C11" s="12">
        <v>85</v>
      </c>
      <c r="D11" s="8">
        <v>29.93</v>
      </c>
      <c r="E11" s="12">
        <v>53</v>
      </c>
      <c r="F11" s="8">
        <v>33.76</v>
      </c>
      <c r="G11" s="12">
        <v>31</v>
      </c>
      <c r="H11" s="8">
        <v>24.8</v>
      </c>
      <c r="I11" s="12">
        <v>1</v>
      </c>
    </row>
    <row r="12" spans="2:9" ht="15" customHeight="1" x14ac:dyDescent="0.15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70</v>
      </c>
      <c r="C13" s="12">
        <v>29</v>
      </c>
      <c r="D13" s="8">
        <v>10.210000000000001</v>
      </c>
      <c r="E13" s="12">
        <v>17</v>
      </c>
      <c r="F13" s="8">
        <v>10.83</v>
      </c>
      <c r="G13" s="12">
        <v>12</v>
      </c>
      <c r="H13" s="8">
        <v>9.6</v>
      </c>
      <c r="I13" s="12">
        <v>0</v>
      </c>
    </row>
    <row r="14" spans="2:9" ht="15" customHeight="1" x14ac:dyDescent="0.15">
      <c r="B14" t="s">
        <v>71</v>
      </c>
      <c r="C14" s="12">
        <v>3</v>
      </c>
      <c r="D14" s="8">
        <v>1.06</v>
      </c>
      <c r="E14" s="12">
        <v>2</v>
      </c>
      <c r="F14" s="8">
        <v>1.27</v>
      </c>
      <c r="G14" s="12">
        <v>1</v>
      </c>
      <c r="H14" s="8">
        <v>0.8</v>
      </c>
      <c r="I14" s="12">
        <v>0</v>
      </c>
    </row>
    <row r="15" spans="2:9" ht="15" customHeight="1" x14ac:dyDescent="0.15">
      <c r="B15" t="s">
        <v>72</v>
      </c>
      <c r="C15" s="12">
        <v>28</v>
      </c>
      <c r="D15" s="8">
        <v>9.86</v>
      </c>
      <c r="E15" s="12">
        <v>20</v>
      </c>
      <c r="F15" s="8">
        <v>12.74</v>
      </c>
      <c r="G15" s="12">
        <v>8</v>
      </c>
      <c r="H15" s="8">
        <v>6.4</v>
      </c>
      <c r="I15" s="12">
        <v>0</v>
      </c>
    </row>
    <row r="16" spans="2:9" ht="15" customHeight="1" x14ac:dyDescent="0.15">
      <c r="B16" t="s">
        <v>73</v>
      </c>
      <c r="C16" s="12">
        <v>26</v>
      </c>
      <c r="D16" s="8">
        <v>9.15</v>
      </c>
      <c r="E16" s="12">
        <v>23</v>
      </c>
      <c r="F16" s="8">
        <v>14.65</v>
      </c>
      <c r="G16" s="12">
        <v>2</v>
      </c>
      <c r="H16" s="8">
        <v>1.6</v>
      </c>
      <c r="I16" s="12">
        <v>1</v>
      </c>
    </row>
    <row r="17" spans="2:9" ht="15" customHeight="1" x14ac:dyDescent="0.15">
      <c r="B17" t="s">
        <v>74</v>
      </c>
      <c r="C17" s="12">
        <v>12</v>
      </c>
      <c r="D17" s="8">
        <v>4.2300000000000004</v>
      </c>
      <c r="E17" s="12">
        <v>10</v>
      </c>
      <c r="F17" s="8">
        <v>6.37</v>
      </c>
      <c r="G17" s="12">
        <v>2</v>
      </c>
      <c r="H17" s="8">
        <v>1.6</v>
      </c>
      <c r="I17" s="12">
        <v>0</v>
      </c>
    </row>
    <row r="18" spans="2:9" ht="15" customHeight="1" x14ac:dyDescent="0.15">
      <c r="B18" t="s">
        <v>75</v>
      </c>
      <c r="C18" s="12">
        <v>4</v>
      </c>
      <c r="D18" s="8">
        <v>1.41</v>
      </c>
      <c r="E18" s="12">
        <v>4</v>
      </c>
      <c r="F18" s="8">
        <v>2.5499999999999998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76</v>
      </c>
      <c r="C19" s="12">
        <v>11</v>
      </c>
      <c r="D19" s="8">
        <v>3.87</v>
      </c>
      <c r="E19" s="12">
        <v>4</v>
      </c>
      <c r="F19" s="8">
        <v>2.5499999999999998</v>
      </c>
      <c r="G19" s="12">
        <v>7</v>
      </c>
      <c r="H19" s="8">
        <v>5.6</v>
      </c>
      <c r="I19" s="12">
        <v>0</v>
      </c>
    </row>
    <row r="20" spans="2:9" ht="15" customHeight="1" x14ac:dyDescent="0.15">
      <c r="B20" s="9" t="s">
        <v>216</v>
      </c>
      <c r="C20" s="12">
        <f>SUM(LTBL_14364[総数／事業所数])</f>
        <v>284</v>
      </c>
      <c r="E20" s="12">
        <f>SUBTOTAL(109,LTBL_14364[個人／事業所数])</f>
        <v>157</v>
      </c>
      <c r="G20" s="12">
        <f>SUBTOTAL(109,LTBL_14364[法人／事業所数])</f>
        <v>125</v>
      </c>
      <c r="I20" s="12">
        <f>SUBTOTAL(109,LTBL_14364[法人以外の団体／事業所数])</f>
        <v>2</v>
      </c>
    </row>
    <row r="21" spans="2:9" ht="15" customHeight="1" x14ac:dyDescent="0.15">
      <c r="E21" s="11">
        <f>LTBL_14364[[#Totals],[個人／事業所数]]/LTBL_14364[[#Totals],[総数／事業所数]]</f>
        <v>0.55281690140845074</v>
      </c>
      <c r="G21" s="11">
        <f>LTBL_14364[[#Totals],[法人／事業所数]]/LTBL_14364[[#Totals],[総数／事業所数]]</f>
        <v>0.44014084507042256</v>
      </c>
      <c r="I21" s="11">
        <f>LTBL_14364[[#Totals],[法人以外の団体／事業所数]]/LTBL_14364[[#Totals],[総数／事業所数]]</f>
        <v>7.0422535211267607E-3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417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6</v>
      </c>
      <c r="D24" t="s">
        <v>217</v>
      </c>
      <c r="E24">
        <v>0</v>
      </c>
      <c r="F24" t="s">
        <v>219</v>
      </c>
      <c r="G24">
        <v>6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92</v>
      </c>
      <c r="C29" s="12">
        <v>30</v>
      </c>
      <c r="D29" s="8">
        <v>10.56</v>
      </c>
      <c r="E29" s="12">
        <v>22</v>
      </c>
      <c r="F29" s="8">
        <v>14.01</v>
      </c>
      <c r="G29" s="12">
        <v>8</v>
      </c>
      <c r="H29" s="8">
        <v>6.4</v>
      </c>
      <c r="I29" s="12">
        <v>0</v>
      </c>
    </row>
    <row r="30" spans="2:9" ht="15" customHeight="1" x14ac:dyDescent="0.15">
      <c r="B30" t="s">
        <v>85</v>
      </c>
      <c r="C30" s="12">
        <v>28</v>
      </c>
      <c r="D30" s="8">
        <v>9.86</v>
      </c>
      <c r="E30" s="12">
        <v>7</v>
      </c>
      <c r="F30" s="8">
        <v>4.46</v>
      </c>
      <c r="G30" s="12">
        <v>21</v>
      </c>
      <c r="H30" s="8">
        <v>16.8</v>
      </c>
      <c r="I30" s="12">
        <v>0</v>
      </c>
    </row>
    <row r="31" spans="2:9" ht="15" customHeight="1" x14ac:dyDescent="0.15">
      <c r="B31" t="s">
        <v>94</v>
      </c>
      <c r="C31" s="12">
        <v>24</v>
      </c>
      <c r="D31" s="8">
        <v>8.4499999999999993</v>
      </c>
      <c r="E31" s="12">
        <v>17</v>
      </c>
      <c r="F31" s="8">
        <v>10.83</v>
      </c>
      <c r="G31" s="12">
        <v>7</v>
      </c>
      <c r="H31" s="8">
        <v>5.6</v>
      </c>
      <c r="I31" s="12">
        <v>0</v>
      </c>
    </row>
    <row r="32" spans="2:9" ht="15" customHeight="1" x14ac:dyDescent="0.15">
      <c r="B32" t="s">
        <v>96</v>
      </c>
      <c r="C32" s="12">
        <v>24</v>
      </c>
      <c r="D32" s="8">
        <v>8.4499999999999993</v>
      </c>
      <c r="E32" s="12">
        <v>17</v>
      </c>
      <c r="F32" s="8">
        <v>10.83</v>
      </c>
      <c r="G32" s="12">
        <v>7</v>
      </c>
      <c r="H32" s="8">
        <v>5.6</v>
      </c>
      <c r="I32" s="12">
        <v>0</v>
      </c>
    </row>
    <row r="33" spans="2:9" ht="15" customHeight="1" x14ac:dyDescent="0.15">
      <c r="B33" t="s">
        <v>100</v>
      </c>
      <c r="C33" s="12">
        <v>23</v>
      </c>
      <c r="D33" s="8">
        <v>8.1</v>
      </c>
      <c r="E33" s="12">
        <v>21</v>
      </c>
      <c r="F33" s="8">
        <v>13.38</v>
      </c>
      <c r="G33" s="12">
        <v>2</v>
      </c>
      <c r="H33" s="8">
        <v>1.6</v>
      </c>
      <c r="I33" s="12">
        <v>0</v>
      </c>
    </row>
    <row r="34" spans="2:9" ht="15" customHeight="1" x14ac:dyDescent="0.15">
      <c r="B34" t="s">
        <v>99</v>
      </c>
      <c r="C34" s="12">
        <v>18</v>
      </c>
      <c r="D34" s="8">
        <v>6.34</v>
      </c>
      <c r="E34" s="12">
        <v>13</v>
      </c>
      <c r="F34" s="8">
        <v>8.2799999999999994</v>
      </c>
      <c r="G34" s="12">
        <v>5</v>
      </c>
      <c r="H34" s="8">
        <v>4</v>
      </c>
      <c r="I34" s="12">
        <v>0</v>
      </c>
    </row>
    <row r="35" spans="2:9" ht="15" customHeight="1" x14ac:dyDescent="0.15">
      <c r="B35" t="s">
        <v>86</v>
      </c>
      <c r="C35" s="12">
        <v>17</v>
      </c>
      <c r="D35" s="8">
        <v>5.99</v>
      </c>
      <c r="E35" s="12">
        <v>4</v>
      </c>
      <c r="F35" s="8">
        <v>2.5499999999999998</v>
      </c>
      <c r="G35" s="12">
        <v>13</v>
      </c>
      <c r="H35" s="8">
        <v>10.4</v>
      </c>
      <c r="I35" s="12">
        <v>0</v>
      </c>
    </row>
    <row r="36" spans="2:9" ht="15" customHeight="1" x14ac:dyDescent="0.15">
      <c r="B36" t="s">
        <v>102</v>
      </c>
      <c r="C36" s="12">
        <v>12</v>
      </c>
      <c r="D36" s="8">
        <v>4.2300000000000004</v>
      </c>
      <c r="E36" s="12">
        <v>10</v>
      </c>
      <c r="F36" s="8">
        <v>6.37</v>
      </c>
      <c r="G36" s="12">
        <v>2</v>
      </c>
      <c r="H36" s="8">
        <v>1.6</v>
      </c>
      <c r="I36" s="12">
        <v>0</v>
      </c>
    </row>
    <row r="37" spans="2:9" ht="15" customHeight="1" x14ac:dyDescent="0.15">
      <c r="B37" t="s">
        <v>87</v>
      </c>
      <c r="C37" s="12">
        <v>11</v>
      </c>
      <c r="D37" s="8">
        <v>3.87</v>
      </c>
      <c r="E37" s="12">
        <v>4</v>
      </c>
      <c r="F37" s="8">
        <v>2.5499999999999998</v>
      </c>
      <c r="G37" s="12">
        <v>7</v>
      </c>
      <c r="H37" s="8">
        <v>5.6</v>
      </c>
      <c r="I37" s="12">
        <v>0</v>
      </c>
    </row>
    <row r="38" spans="2:9" ht="15" customHeight="1" x14ac:dyDescent="0.15">
      <c r="B38" t="s">
        <v>93</v>
      </c>
      <c r="C38" s="12">
        <v>10</v>
      </c>
      <c r="D38" s="8">
        <v>3.52</v>
      </c>
      <c r="E38" s="12">
        <v>5</v>
      </c>
      <c r="F38" s="8">
        <v>3.18</v>
      </c>
      <c r="G38" s="12">
        <v>5</v>
      </c>
      <c r="H38" s="8">
        <v>4</v>
      </c>
      <c r="I38" s="12">
        <v>0</v>
      </c>
    </row>
    <row r="39" spans="2:9" ht="15" customHeight="1" x14ac:dyDescent="0.15">
      <c r="B39" t="s">
        <v>111</v>
      </c>
      <c r="C39" s="12">
        <v>8</v>
      </c>
      <c r="D39" s="8">
        <v>2.82</v>
      </c>
      <c r="E39" s="12">
        <v>7</v>
      </c>
      <c r="F39" s="8">
        <v>4.46</v>
      </c>
      <c r="G39" s="12">
        <v>1</v>
      </c>
      <c r="H39" s="8">
        <v>0.8</v>
      </c>
      <c r="I39" s="12">
        <v>0</v>
      </c>
    </row>
    <row r="40" spans="2:9" ht="15" customHeight="1" x14ac:dyDescent="0.15">
      <c r="B40" t="s">
        <v>91</v>
      </c>
      <c r="C40" s="12">
        <v>7</v>
      </c>
      <c r="D40" s="8">
        <v>2.46</v>
      </c>
      <c r="E40" s="12">
        <v>5</v>
      </c>
      <c r="F40" s="8">
        <v>3.18</v>
      </c>
      <c r="G40" s="12">
        <v>2</v>
      </c>
      <c r="H40" s="8">
        <v>1.6</v>
      </c>
      <c r="I40" s="12">
        <v>0</v>
      </c>
    </row>
    <row r="41" spans="2:9" ht="15" customHeight="1" x14ac:dyDescent="0.15">
      <c r="B41" t="s">
        <v>117</v>
      </c>
      <c r="C41" s="12">
        <v>7</v>
      </c>
      <c r="D41" s="8">
        <v>2.46</v>
      </c>
      <c r="E41" s="12">
        <v>3</v>
      </c>
      <c r="F41" s="8">
        <v>1.91</v>
      </c>
      <c r="G41" s="12">
        <v>4</v>
      </c>
      <c r="H41" s="8">
        <v>3.2</v>
      </c>
      <c r="I41" s="12">
        <v>0</v>
      </c>
    </row>
    <row r="42" spans="2:9" ht="15" customHeight="1" x14ac:dyDescent="0.15">
      <c r="B42" t="s">
        <v>105</v>
      </c>
      <c r="C42" s="12">
        <v>5</v>
      </c>
      <c r="D42" s="8">
        <v>1.76</v>
      </c>
      <c r="E42" s="12">
        <v>0</v>
      </c>
      <c r="F42" s="8">
        <v>0</v>
      </c>
      <c r="G42" s="12">
        <v>5</v>
      </c>
      <c r="H42" s="8">
        <v>4</v>
      </c>
      <c r="I42" s="12">
        <v>0</v>
      </c>
    </row>
    <row r="43" spans="2:9" ht="15" customHeight="1" x14ac:dyDescent="0.15">
      <c r="B43" t="s">
        <v>123</v>
      </c>
      <c r="C43" s="12">
        <v>4</v>
      </c>
      <c r="D43" s="8">
        <v>1.41</v>
      </c>
      <c r="E43" s="12">
        <v>1</v>
      </c>
      <c r="F43" s="8">
        <v>0.64</v>
      </c>
      <c r="G43" s="12">
        <v>3</v>
      </c>
      <c r="H43" s="8">
        <v>2.4</v>
      </c>
      <c r="I43" s="12">
        <v>0</v>
      </c>
    </row>
    <row r="44" spans="2:9" ht="15" customHeight="1" x14ac:dyDescent="0.15">
      <c r="B44" t="s">
        <v>88</v>
      </c>
      <c r="C44" s="12">
        <v>4</v>
      </c>
      <c r="D44" s="8">
        <v>1.41</v>
      </c>
      <c r="E44" s="12">
        <v>1</v>
      </c>
      <c r="F44" s="8">
        <v>0.64</v>
      </c>
      <c r="G44" s="12">
        <v>3</v>
      </c>
      <c r="H44" s="8">
        <v>2.4</v>
      </c>
      <c r="I44" s="12">
        <v>0</v>
      </c>
    </row>
    <row r="45" spans="2:9" ht="15" customHeight="1" x14ac:dyDescent="0.15">
      <c r="B45" t="s">
        <v>125</v>
      </c>
      <c r="C45" s="12">
        <v>4</v>
      </c>
      <c r="D45" s="8">
        <v>1.41</v>
      </c>
      <c r="E45" s="12">
        <v>0</v>
      </c>
      <c r="F45" s="8">
        <v>0</v>
      </c>
      <c r="G45" s="12">
        <v>4</v>
      </c>
      <c r="H45" s="8">
        <v>3.2</v>
      </c>
      <c r="I45" s="12">
        <v>0</v>
      </c>
    </row>
    <row r="46" spans="2:9" ht="15" customHeight="1" x14ac:dyDescent="0.15">
      <c r="B46" t="s">
        <v>106</v>
      </c>
      <c r="C46" s="12">
        <v>4</v>
      </c>
      <c r="D46" s="8">
        <v>1.41</v>
      </c>
      <c r="E46" s="12">
        <v>1</v>
      </c>
      <c r="F46" s="8">
        <v>0.64</v>
      </c>
      <c r="G46" s="12">
        <v>3</v>
      </c>
      <c r="H46" s="8">
        <v>2.4</v>
      </c>
      <c r="I46" s="12">
        <v>0</v>
      </c>
    </row>
    <row r="47" spans="2:9" ht="15" customHeight="1" x14ac:dyDescent="0.15">
      <c r="B47" t="s">
        <v>103</v>
      </c>
      <c r="C47" s="12">
        <v>4</v>
      </c>
      <c r="D47" s="8">
        <v>1.41</v>
      </c>
      <c r="E47" s="12">
        <v>4</v>
      </c>
      <c r="F47" s="8">
        <v>2.5499999999999998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127</v>
      </c>
      <c r="C48" s="12">
        <v>3</v>
      </c>
      <c r="D48" s="8">
        <v>1.06</v>
      </c>
      <c r="E48" s="12">
        <v>0</v>
      </c>
      <c r="F48" s="8">
        <v>0</v>
      </c>
      <c r="G48" s="12">
        <v>3</v>
      </c>
      <c r="H48" s="8">
        <v>2.4</v>
      </c>
      <c r="I48" s="12">
        <v>0</v>
      </c>
    </row>
    <row r="49" spans="2:9" ht="15" customHeight="1" x14ac:dyDescent="0.15">
      <c r="B49" t="s">
        <v>128</v>
      </c>
      <c r="C49" s="12">
        <v>3</v>
      </c>
      <c r="D49" s="8">
        <v>1.06</v>
      </c>
      <c r="E49" s="12">
        <v>3</v>
      </c>
      <c r="F49" s="8">
        <v>1.91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122</v>
      </c>
      <c r="C50" s="12">
        <v>3</v>
      </c>
      <c r="D50" s="8">
        <v>1.06</v>
      </c>
      <c r="E50" s="12">
        <v>2</v>
      </c>
      <c r="F50" s="8">
        <v>1.27</v>
      </c>
      <c r="G50" s="12">
        <v>1</v>
      </c>
      <c r="H50" s="8">
        <v>0.8</v>
      </c>
      <c r="I50" s="12">
        <v>0</v>
      </c>
    </row>
    <row r="51" spans="2:9" ht="15" customHeight="1" x14ac:dyDescent="0.15">
      <c r="B51" t="s">
        <v>95</v>
      </c>
      <c r="C51" s="12">
        <v>3</v>
      </c>
      <c r="D51" s="8">
        <v>1.06</v>
      </c>
      <c r="E51" s="12">
        <v>0</v>
      </c>
      <c r="F51" s="8">
        <v>0</v>
      </c>
      <c r="G51" s="12">
        <v>3</v>
      </c>
      <c r="H51" s="8">
        <v>2.4</v>
      </c>
      <c r="I51" s="12">
        <v>0</v>
      </c>
    </row>
    <row r="52" spans="2:9" ht="15" customHeight="1" x14ac:dyDescent="0.15">
      <c r="B52" t="s">
        <v>98</v>
      </c>
      <c r="C52" s="12">
        <v>3</v>
      </c>
      <c r="D52" s="8">
        <v>1.06</v>
      </c>
      <c r="E52" s="12">
        <v>2</v>
      </c>
      <c r="F52" s="8">
        <v>1.27</v>
      </c>
      <c r="G52" s="12">
        <v>1</v>
      </c>
      <c r="H52" s="8">
        <v>0.8</v>
      </c>
      <c r="I52" s="12">
        <v>0</v>
      </c>
    </row>
    <row r="55" spans="2:9" ht="33" customHeight="1" x14ac:dyDescent="0.15">
      <c r="B55" t="s">
        <v>232</v>
      </c>
      <c r="C55" s="10" t="s">
        <v>78</v>
      </c>
      <c r="D55" s="10" t="s">
        <v>79</v>
      </c>
      <c r="E55" s="10" t="s">
        <v>80</v>
      </c>
      <c r="F55" s="10" t="s">
        <v>81</v>
      </c>
      <c r="G55" s="10" t="s">
        <v>82</v>
      </c>
      <c r="H55" s="10" t="s">
        <v>83</v>
      </c>
      <c r="I55" s="10" t="s">
        <v>84</v>
      </c>
    </row>
    <row r="56" spans="2:9" ht="15" customHeight="1" x14ac:dyDescent="0.15">
      <c r="B56" t="s">
        <v>138</v>
      </c>
      <c r="C56" s="12">
        <v>19</v>
      </c>
      <c r="D56" s="8">
        <v>6.69</v>
      </c>
      <c r="E56" s="12">
        <v>1</v>
      </c>
      <c r="F56" s="8">
        <v>0.64</v>
      </c>
      <c r="G56" s="12">
        <v>18</v>
      </c>
      <c r="H56" s="8">
        <v>14.4</v>
      </c>
      <c r="I56" s="12">
        <v>0</v>
      </c>
    </row>
    <row r="57" spans="2:9" ht="15" customHeight="1" x14ac:dyDescent="0.15">
      <c r="B57" t="s">
        <v>173</v>
      </c>
      <c r="C57" s="12">
        <v>11</v>
      </c>
      <c r="D57" s="8">
        <v>3.87</v>
      </c>
      <c r="E57" s="12">
        <v>11</v>
      </c>
      <c r="F57" s="8">
        <v>7.01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155</v>
      </c>
      <c r="C58" s="12">
        <v>11</v>
      </c>
      <c r="D58" s="8">
        <v>3.87</v>
      </c>
      <c r="E58" s="12">
        <v>11</v>
      </c>
      <c r="F58" s="8">
        <v>7.01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10</v>
      </c>
      <c r="D59" s="8">
        <v>3.52</v>
      </c>
      <c r="E59" s="12">
        <v>7</v>
      </c>
      <c r="F59" s="8">
        <v>4.46</v>
      </c>
      <c r="G59" s="12">
        <v>3</v>
      </c>
      <c r="H59" s="8">
        <v>2.4</v>
      </c>
      <c r="I59" s="12">
        <v>0</v>
      </c>
    </row>
    <row r="60" spans="2:9" ht="15" customHeight="1" x14ac:dyDescent="0.15">
      <c r="B60" t="s">
        <v>154</v>
      </c>
      <c r="C60" s="12">
        <v>9</v>
      </c>
      <c r="D60" s="8">
        <v>3.17</v>
      </c>
      <c r="E60" s="12">
        <v>9</v>
      </c>
      <c r="F60" s="8">
        <v>5.73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156</v>
      </c>
      <c r="C61" s="12">
        <v>8</v>
      </c>
      <c r="D61" s="8">
        <v>2.82</v>
      </c>
      <c r="E61" s="12">
        <v>8</v>
      </c>
      <c r="F61" s="8">
        <v>5.0999999999999996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140</v>
      </c>
      <c r="C62" s="12">
        <v>7</v>
      </c>
      <c r="D62" s="8">
        <v>2.46</v>
      </c>
      <c r="E62" s="12">
        <v>4</v>
      </c>
      <c r="F62" s="8">
        <v>2.5499999999999998</v>
      </c>
      <c r="G62" s="12">
        <v>3</v>
      </c>
      <c r="H62" s="8">
        <v>2.4</v>
      </c>
      <c r="I62" s="12">
        <v>0</v>
      </c>
    </row>
    <row r="63" spans="2:9" ht="15" customHeight="1" x14ac:dyDescent="0.15">
      <c r="B63" t="s">
        <v>144</v>
      </c>
      <c r="C63" s="12">
        <v>7</v>
      </c>
      <c r="D63" s="8">
        <v>2.46</v>
      </c>
      <c r="E63" s="12">
        <v>2</v>
      </c>
      <c r="F63" s="8">
        <v>1.27</v>
      </c>
      <c r="G63" s="12">
        <v>5</v>
      </c>
      <c r="H63" s="8">
        <v>4</v>
      </c>
      <c r="I63" s="12">
        <v>0</v>
      </c>
    </row>
    <row r="64" spans="2:9" ht="15" customHeight="1" x14ac:dyDescent="0.15">
      <c r="B64" t="s">
        <v>145</v>
      </c>
      <c r="C64" s="12">
        <v>7</v>
      </c>
      <c r="D64" s="8">
        <v>2.46</v>
      </c>
      <c r="E64" s="12">
        <v>6</v>
      </c>
      <c r="F64" s="8">
        <v>3.82</v>
      </c>
      <c r="G64" s="12">
        <v>1</v>
      </c>
      <c r="H64" s="8">
        <v>0.8</v>
      </c>
      <c r="I64" s="12">
        <v>0</v>
      </c>
    </row>
    <row r="65" spans="2:9" ht="15" customHeight="1" x14ac:dyDescent="0.15">
      <c r="B65" t="s">
        <v>181</v>
      </c>
      <c r="C65" s="12">
        <v>7</v>
      </c>
      <c r="D65" s="8">
        <v>2.46</v>
      </c>
      <c r="E65" s="12">
        <v>3</v>
      </c>
      <c r="F65" s="8">
        <v>1.91</v>
      </c>
      <c r="G65" s="12">
        <v>4</v>
      </c>
      <c r="H65" s="8">
        <v>3.2</v>
      </c>
      <c r="I65" s="12">
        <v>0</v>
      </c>
    </row>
    <row r="66" spans="2:9" ht="15" customHeight="1" x14ac:dyDescent="0.15">
      <c r="B66" t="s">
        <v>203</v>
      </c>
      <c r="C66" s="12">
        <v>6</v>
      </c>
      <c r="D66" s="8">
        <v>2.11</v>
      </c>
      <c r="E66" s="12">
        <v>5</v>
      </c>
      <c r="F66" s="8">
        <v>3.18</v>
      </c>
      <c r="G66" s="12">
        <v>1</v>
      </c>
      <c r="H66" s="8">
        <v>0.8</v>
      </c>
      <c r="I66" s="12">
        <v>0</v>
      </c>
    </row>
    <row r="67" spans="2:9" ht="15" customHeight="1" x14ac:dyDescent="0.15">
      <c r="B67" t="s">
        <v>147</v>
      </c>
      <c r="C67" s="12">
        <v>6</v>
      </c>
      <c r="D67" s="8">
        <v>2.11</v>
      </c>
      <c r="E67" s="12">
        <v>2</v>
      </c>
      <c r="F67" s="8">
        <v>1.27</v>
      </c>
      <c r="G67" s="12">
        <v>4</v>
      </c>
      <c r="H67" s="8">
        <v>3.2</v>
      </c>
      <c r="I67" s="12">
        <v>0</v>
      </c>
    </row>
    <row r="68" spans="2:9" ht="15" customHeight="1" x14ac:dyDescent="0.15">
      <c r="B68" t="s">
        <v>174</v>
      </c>
      <c r="C68" s="12">
        <v>5</v>
      </c>
      <c r="D68" s="8">
        <v>1.76</v>
      </c>
      <c r="E68" s="12">
        <v>5</v>
      </c>
      <c r="F68" s="8">
        <v>3.18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148</v>
      </c>
      <c r="C69" s="12">
        <v>5</v>
      </c>
      <c r="D69" s="8">
        <v>1.76</v>
      </c>
      <c r="E69" s="12">
        <v>4</v>
      </c>
      <c r="F69" s="8">
        <v>2.5499999999999998</v>
      </c>
      <c r="G69" s="12">
        <v>1</v>
      </c>
      <c r="H69" s="8">
        <v>0.8</v>
      </c>
      <c r="I69" s="12">
        <v>0</v>
      </c>
    </row>
    <row r="70" spans="2:9" ht="15" customHeight="1" x14ac:dyDescent="0.15">
      <c r="B70" t="s">
        <v>170</v>
      </c>
      <c r="C70" s="12">
        <v>5</v>
      </c>
      <c r="D70" s="8">
        <v>1.76</v>
      </c>
      <c r="E70" s="12">
        <v>5</v>
      </c>
      <c r="F70" s="8">
        <v>3.18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160</v>
      </c>
      <c r="C71" s="12">
        <v>4</v>
      </c>
      <c r="D71" s="8">
        <v>1.41</v>
      </c>
      <c r="E71" s="12">
        <v>0</v>
      </c>
      <c r="F71" s="8">
        <v>0</v>
      </c>
      <c r="G71" s="12">
        <v>4</v>
      </c>
      <c r="H71" s="8">
        <v>3.2</v>
      </c>
      <c r="I71" s="12">
        <v>0</v>
      </c>
    </row>
    <row r="72" spans="2:9" ht="15" customHeight="1" x14ac:dyDescent="0.15">
      <c r="B72" t="s">
        <v>201</v>
      </c>
      <c r="C72" s="12">
        <v>4</v>
      </c>
      <c r="D72" s="8">
        <v>1.41</v>
      </c>
      <c r="E72" s="12">
        <v>0</v>
      </c>
      <c r="F72" s="8">
        <v>0</v>
      </c>
      <c r="G72" s="12">
        <v>4</v>
      </c>
      <c r="H72" s="8">
        <v>3.2</v>
      </c>
      <c r="I72" s="12">
        <v>0</v>
      </c>
    </row>
    <row r="73" spans="2:9" ht="15" customHeight="1" x14ac:dyDescent="0.15">
      <c r="B73" t="s">
        <v>202</v>
      </c>
      <c r="C73" s="12">
        <v>4</v>
      </c>
      <c r="D73" s="8">
        <v>1.41</v>
      </c>
      <c r="E73" s="12">
        <v>3</v>
      </c>
      <c r="F73" s="8">
        <v>1.91</v>
      </c>
      <c r="G73" s="12">
        <v>1</v>
      </c>
      <c r="H73" s="8">
        <v>0.8</v>
      </c>
      <c r="I73" s="12">
        <v>0</v>
      </c>
    </row>
    <row r="74" spans="2:9" ht="15" customHeight="1" x14ac:dyDescent="0.15">
      <c r="B74" t="s">
        <v>194</v>
      </c>
      <c r="C74" s="12">
        <v>4</v>
      </c>
      <c r="D74" s="8">
        <v>1.41</v>
      </c>
      <c r="E74" s="12">
        <v>3</v>
      </c>
      <c r="F74" s="8">
        <v>1.91</v>
      </c>
      <c r="G74" s="12">
        <v>1</v>
      </c>
      <c r="H74" s="8">
        <v>0.8</v>
      </c>
      <c r="I74" s="12">
        <v>0</v>
      </c>
    </row>
    <row r="75" spans="2:9" ht="15" customHeight="1" x14ac:dyDescent="0.15">
      <c r="B75" t="s">
        <v>166</v>
      </c>
      <c r="C75" s="12">
        <v>4</v>
      </c>
      <c r="D75" s="8">
        <v>1.41</v>
      </c>
      <c r="E75" s="12">
        <v>3</v>
      </c>
      <c r="F75" s="8">
        <v>1.91</v>
      </c>
      <c r="G75" s="12">
        <v>1</v>
      </c>
      <c r="H75" s="8">
        <v>0.8</v>
      </c>
      <c r="I75" s="12">
        <v>0</v>
      </c>
    </row>
    <row r="76" spans="2:9" ht="15" customHeight="1" x14ac:dyDescent="0.15">
      <c r="B76" t="s">
        <v>185</v>
      </c>
      <c r="C76" s="12">
        <v>4</v>
      </c>
      <c r="D76" s="8">
        <v>1.41</v>
      </c>
      <c r="E76" s="12">
        <v>3</v>
      </c>
      <c r="F76" s="8">
        <v>1.91</v>
      </c>
      <c r="G76" s="12">
        <v>1</v>
      </c>
      <c r="H76" s="8">
        <v>0.8</v>
      </c>
      <c r="I76" s="12">
        <v>0</v>
      </c>
    </row>
    <row r="77" spans="2:9" ht="15" customHeight="1" x14ac:dyDescent="0.15">
      <c r="B77" t="s">
        <v>161</v>
      </c>
      <c r="C77" s="12">
        <v>4</v>
      </c>
      <c r="D77" s="8">
        <v>1.41</v>
      </c>
      <c r="E77" s="12">
        <v>2</v>
      </c>
      <c r="F77" s="8">
        <v>1.27</v>
      </c>
      <c r="G77" s="12">
        <v>2</v>
      </c>
      <c r="H77" s="8">
        <v>1.6</v>
      </c>
      <c r="I77" s="12">
        <v>0</v>
      </c>
    </row>
    <row r="78" spans="2:9" ht="15" customHeight="1" x14ac:dyDescent="0.15">
      <c r="B78" t="s">
        <v>204</v>
      </c>
      <c r="C78" s="12">
        <v>4</v>
      </c>
      <c r="D78" s="8">
        <v>1.41</v>
      </c>
      <c r="E78" s="12">
        <v>3</v>
      </c>
      <c r="F78" s="8">
        <v>1.91</v>
      </c>
      <c r="G78" s="12">
        <v>1</v>
      </c>
      <c r="H78" s="8">
        <v>0.8</v>
      </c>
      <c r="I78" s="12">
        <v>0</v>
      </c>
    </row>
    <row r="79" spans="2:9" ht="15" customHeight="1" x14ac:dyDescent="0.15">
      <c r="B79" t="s">
        <v>183</v>
      </c>
      <c r="C79" s="12">
        <v>4</v>
      </c>
      <c r="D79" s="8">
        <v>1.41</v>
      </c>
      <c r="E79" s="12">
        <v>1</v>
      </c>
      <c r="F79" s="8">
        <v>0.64</v>
      </c>
      <c r="G79" s="12">
        <v>3</v>
      </c>
      <c r="H79" s="8">
        <v>2.4</v>
      </c>
      <c r="I79" s="12">
        <v>0</v>
      </c>
    </row>
    <row r="80" spans="2:9" ht="15" customHeight="1" x14ac:dyDescent="0.15">
      <c r="B80" t="s">
        <v>150</v>
      </c>
      <c r="C80" s="12">
        <v>4</v>
      </c>
      <c r="D80" s="8">
        <v>1.41</v>
      </c>
      <c r="E80" s="12">
        <v>2</v>
      </c>
      <c r="F80" s="8">
        <v>1.27</v>
      </c>
      <c r="G80" s="12">
        <v>2</v>
      </c>
      <c r="H80" s="8">
        <v>1.6</v>
      </c>
      <c r="I80" s="12">
        <v>0</v>
      </c>
    </row>
    <row r="82" spans="2:2" ht="15" customHeight="1" x14ac:dyDescent="0.15">
      <c r="B82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418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47</v>
      </c>
      <c r="D6" s="8">
        <v>11.16</v>
      </c>
      <c r="E6" s="12">
        <v>19</v>
      </c>
      <c r="F6" s="8">
        <v>6.67</v>
      </c>
      <c r="G6" s="12">
        <v>28</v>
      </c>
      <c r="H6" s="8">
        <v>20.59</v>
      </c>
      <c r="I6" s="12">
        <v>0</v>
      </c>
    </row>
    <row r="7" spans="2:9" ht="15" customHeight="1" x14ac:dyDescent="0.15">
      <c r="B7" t="s">
        <v>64</v>
      </c>
      <c r="C7" s="12">
        <v>19</v>
      </c>
      <c r="D7" s="8">
        <v>4.51</v>
      </c>
      <c r="E7" s="12">
        <v>6</v>
      </c>
      <c r="F7" s="8">
        <v>2.11</v>
      </c>
      <c r="G7" s="12">
        <v>13</v>
      </c>
      <c r="H7" s="8">
        <v>9.56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</v>
      </c>
      <c r="D9" s="8">
        <v>0.24</v>
      </c>
      <c r="E9" s="12">
        <v>0</v>
      </c>
      <c r="F9" s="8">
        <v>0</v>
      </c>
      <c r="G9" s="12">
        <v>1</v>
      </c>
      <c r="H9" s="8">
        <v>0.74</v>
      </c>
      <c r="I9" s="12">
        <v>0</v>
      </c>
    </row>
    <row r="10" spans="2:9" ht="15" customHeight="1" x14ac:dyDescent="0.15">
      <c r="B10" t="s">
        <v>67</v>
      </c>
      <c r="C10" s="12">
        <v>1</v>
      </c>
      <c r="D10" s="8">
        <v>0.24</v>
      </c>
      <c r="E10" s="12">
        <v>0</v>
      </c>
      <c r="F10" s="8">
        <v>0</v>
      </c>
      <c r="G10" s="12">
        <v>1</v>
      </c>
      <c r="H10" s="8">
        <v>0.74</v>
      </c>
      <c r="I10" s="12">
        <v>0</v>
      </c>
    </row>
    <row r="11" spans="2:9" ht="15" customHeight="1" x14ac:dyDescent="0.15">
      <c r="B11" t="s">
        <v>68</v>
      </c>
      <c r="C11" s="12">
        <v>71</v>
      </c>
      <c r="D11" s="8">
        <v>16.86</v>
      </c>
      <c r="E11" s="12">
        <v>43</v>
      </c>
      <c r="F11" s="8">
        <v>15.09</v>
      </c>
      <c r="G11" s="12">
        <v>28</v>
      </c>
      <c r="H11" s="8">
        <v>20.59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0.24</v>
      </c>
      <c r="E12" s="12">
        <v>0</v>
      </c>
      <c r="F12" s="8">
        <v>0</v>
      </c>
      <c r="G12" s="12">
        <v>1</v>
      </c>
      <c r="H12" s="8">
        <v>0.74</v>
      </c>
      <c r="I12" s="12">
        <v>0</v>
      </c>
    </row>
    <row r="13" spans="2:9" ht="15" customHeight="1" x14ac:dyDescent="0.15">
      <c r="B13" t="s">
        <v>70</v>
      </c>
      <c r="C13" s="12">
        <v>136</v>
      </c>
      <c r="D13" s="8">
        <v>32.299999999999997</v>
      </c>
      <c r="E13" s="12">
        <v>108</v>
      </c>
      <c r="F13" s="8">
        <v>37.89</v>
      </c>
      <c r="G13" s="12">
        <v>28</v>
      </c>
      <c r="H13" s="8">
        <v>20.59</v>
      </c>
      <c r="I13" s="12">
        <v>0</v>
      </c>
    </row>
    <row r="14" spans="2:9" ht="15" customHeight="1" x14ac:dyDescent="0.15">
      <c r="B14" t="s">
        <v>71</v>
      </c>
      <c r="C14" s="12">
        <v>10</v>
      </c>
      <c r="D14" s="8">
        <v>2.38</v>
      </c>
      <c r="E14" s="12">
        <v>8</v>
      </c>
      <c r="F14" s="8">
        <v>2.81</v>
      </c>
      <c r="G14" s="12">
        <v>2</v>
      </c>
      <c r="H14" s="8">
        <v>1.47</v>
      </c>
      <c r="I14" s="12">
        <v>0</v>
      </c>
    </row>
    <row r="15" spans="2:9" ht="15" customHeight="1" x14ac:dyDescent="0.15">
      <c r="B15" t="s">
        <v>72</v>
      </c>
      <c r="C15" s="12">
        <v>42</v>
      </c>
      <c r="D15" s="8">
        <v>9.98</v>
      </c>
      <c r="E15" s="12">
        <v>35</v>
      </c>
      <c r="F15" s="8">
        <v>12.28</v>
      </c>
      <c r="G15" s="12">
        <v>7</v>
      </c>
      <c r="H15" s="8">
        <v>5.15</v>
      </c>
      <c r="I15" s="12">
        <v>0</v>
      </c>
    </row>
    <row r="16" spans="2:9" ht="15" customHeight="1" x14ac:dyDescent="0.15">
      <c r="B16" t="s">
        <v>73</v>
      </c>
      <c r="C16" s="12">
        <v>47</v>
      </c>
      <c r="D16" s="8">
        <v>11.16</v>
      </c>
      <c r="E16" s="12">
        <v>37</v>
      </c>
      <c r="F16" s="8">
        <v>12.98</v>
      </c>
      <c r="G16" s="12">
        <v>10</v>
      </c>
      <c r="H16" s="8">
        <v>7.35</v>
      </c>
      <c r="I16" s="12">
        <v>0</v>
      </c>
    </row>
    <row r="17" spans="2:9" ht="15" customHeight="1" x14ac:dyDescent="0.15">
      <c r="B17" t="s">
        <v>74</v>
      </c>
      <c r="C17" s="12">
        <v>19</v>
      </c>
      <c r="D17" s="8">
        <v>4.51</v>
      </c>
      <c r="E17" s="12">
        <v>13</v>
      </c>
      <c r="F17" s="8">
        <v>4.5599999999999996</v>
      </c>
      <c r="G17" s="12">
        <v>6</v>
      </c>
      <c r="H17" s="8">
        <v>4.41</v>
      </c>
      <c r="I17" s="12">
        <v>0</v>
      </c>
    </row>
    <row r="18" spans="2:9" ht="15" customHeight="1" x14ac:dyDescent="0.15">
      <c r="B18" t="s">
        <v>75</v>
      </c>
      <c r="C18" s="12">
        <v>17</v>
      </c>
      <c r="D18" s="8">
        <v>4.04</v>
      </c>
      <c r="E18" s="12">
        <v>13</v>
      </c>
      <c r="F18" s="8">
        <v>4.5599999999999996</v>
      </c>
      <c r="G18" s="12">
        <v>4</v>
      </c>
      <c r="H18" s="8">
        <v>2.94</v>
      </c>
      <c r="I18" s="12">
        <v>0</v>
      </c>
    </row>
    <row r="19" spans="2:9" ht="15" customHeight="1" x14ac:dyDescent="0.15">
      <c r="B19" t="s">
        <v>76</v>
      </c>
      <c r="C19" s="12">
        <v>10</v>
      </c>
      <c r="D19" s="8">
        <v>2.38</v>
      </c>
      <c r="E19" s="12">
        <v>3</v>
      </c>
      <c r="F19" s="8">
        <v>1.05</v>
      </c>
      <c r="G19" s="12">
        <v>7</v>
      </c>
      <c r="H19" s="8">
        <v>5.15</v>
      </c>
      <c r="I19" s="12">
        <v>0</v>
      </c>
    </row>
    <row r="20" spans="2:9" ht="15" customHeight="1" x14ac:dyDescent="0.15">
      <c r="B20" s="9" t="s">
        <v>216</v>
      </c>
      <c r="C20" s="12">
        <f>SUM(LTBL_14366[総数／事業所数])</f>
        <v>421</v>
      </c>
      <c r="E20" s="12">
        <f>SUBTOTAL(109,LTBL_14366[個人／事業所数])</f>
        <v>285</v>
      </c>
      <c r="G20" s="12">
        <f>SUBTOTAL(109,LTBL_14366[法人／事業所数])</f>
        <v>136</v>
      </c>
      <c r="I20" s="12">
        <f>SUBTOTAL(109,LTBL_14366[法人以外の団体／事業所数])</f>
        <v>0</v>
      </c>
    </row>
    <row r="21" spans="2:9" ht="15" customHeight="1" x14ac:dyDescent="0.15">
      <c r="E21" s="11">
        <f>LTBL_14366[[#Totals],[個人／事業所数]]/LTBL_14366[[#Totals],[総数／事業所数]]</f>
        <v>0.6769596199524941</v>
      </c>
      <c r="G21" s="11">
        <f>LTBL_14366[[#Totals],[法人／事業所数]]/LTBL_14366[[#Totals],[総数／事業所数]]</f>
        <v>0.32304038004750596</v>
      </c>
      <c r="I21" s="11">
        <f>LTBL_14366[[#Totals],[法人以外の団体／事業所数]]/LTBL_14366[[#Totals],[総数／事業所数]]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419</v>
      </c>
      <c r="E23" s="10" t="s">
        <v>80</v>
      </c>
      <c r="F23" s="10" t="s">
        <v>252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3</v>
      </c>
      <c r="D24" t="s">
        <v>217</v>
      </c>
      <c r="E24">
        <v>0</v>
      </c>
      <c r="F24" t="s">
        <v>219</v>
      </c>
      <c r="G24">
        <v>3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231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96</v>
      </c>
      <c r="C29" s="12">
        <v>128</v>
      </c>
      <c r="D29" s="8">
        <v>30.4</v>
      </c>
      <c r="E29" s="12">
        <v>105</v>
      </c>
      <c r="F29" s="8">
        <v>36.840000000000003</v>
      </c>
      <c r="G29" s="12">
        <v>23</v>
      </c>
      <c r="H29" s="8">
        <v>16.91</v>
      </c>
      <c r="I29" s="12">
        <v>0</v>
      </c>
    </row>
    <row r="30" spans="2:9" ht="15" customHeight="1" x14ac:dyDescent="0.15">
      <c r="B30" t="s">
        <v>100</v>
      </c>
      <c r="C30" s="12">
        <v>44</v>
      </c>
      <c r="D30" s="8">
        <v>10.45</v>
      </c>
      <c r="E30" s="12">
        <v>35</v>
      </c>
      <c r="F30" s="8">
        <v>12.28</v>
      </c>
      <c r="G30" s="12">
        <v>9</v>
      </c>
      <c r="H30" s="8">
        <v>6.62</v>
      </c>
      <c r="I30" s="12">
        <v>0</v>
      </c>
    </row>
    <row r="31" spans="2:9" ht="15" customHeight="1" x14ac:dyDescent="0.15">
      <c r="B31" t="s">
        <v>99</v>
      </c>
      <c r="C31" s="12">
        <v>37</v>
      </c>
      <c r="D31" s="8">
        <v>8.7899999999999991</v>
      </c>
      <c r="E31" s="12">
        <v>33</v>
      </c>
      <c r="F31" s="8">
        <v>11.58</v>
      </c>
      <c r="G31" s="12">
        <v>4</v>
      </c>
      <c r="H31" s="8">
        <v>2.94</v>
      </c>
      <c r="I31" s="12">
        <v>0</v>
      </c>
    </row>
    <row r="32" spans="2:9" ht="15" customHeight="1" x14ac:dyDescent="0.15">
      <c r="B32" t="s">
        <v>85</v>
      </c>
      <c r="C32" s="12">
        <v>25</v>
      </c>
      <c r="D32" s="8">
        <v>5.94</v>
      </c>
      <c r="E32" s="12">
        <v>12</v>
      </c>
      <c r="F32" s="8">
        <v>4.21</v>
      </c>
      <c r="G32" s="12">
        <v>13</v>
      </c>
      <c r="H32" s="8">
        <v>9.56</v>
      </c>
      <c r="I32" s="12">
        <v>0</v>
      </c>
    </row>
    <row r="33" spans="2:9" ht="15" customHeight="1" x14ac:dyDescent="0.15">
      <c r="B33" t="s">
        <v>92</v>
      </c>
      <c r="C33" s="12">
        <v>20</v>
      </c>
      <c r="D33" s="8">
        <v>4.75</v>
      </c>
      <c r="E33" s="12">
        <v>16</v>
      </c>
      <c r="F33" s="8">
        <v>5.61</v>
      </c>
      <c r="G33" s="12">
        <v>4</v>
      </c>
      <c r="H33" s="8">
        <v>2.94</v>
      </c>
      <c r="I33" s="12">
        <v>0</v>
      </c>
    </row>
    <row r="34" spans="2:9" ht="15" customHeight="1" x14ac:dyDescent="0.15">
      <c r="B34" t="s">
        <v>94</v>
      </c>
      <c r="C34" s="12">
        <v>19</v>
      </c>
      <c r="D34" s="8">
        <v>4.51</v>
      </c>
      <c r="E34" s="12">
        <v>11</v>
      </c>
      <c r="F34" s="8">
        <v>3.86</v>
      </c>
      <c r="G34" s="12">
        <v>8</v>
      </c>
      <c r="H34" s="8">
        <v>5.88</v>
      </c>
      <c r="I34" s="12">
        <v>0</v>
      </c>
    </row>
    <row r="35" spans="2:9" ht="15" customHeight="1" x14ac:dyDescent="0.15">
      <c r="B35" t="s">
        <v>102</v>
      </c>
      <c r="C35" s="12">
        <v>19</v>
      </c>
      <c r="D35" s="8">
        <v>4.51</v>
      </c>
      <c r="E35" s="12">
        <v>13</v>
      </c>
      <c r="F35" s="8">
        <v>4.5599999999999996</v>
      </c>
      <c r="G35" s="12">
        <v>6</v>
      </c>
      <c r="H35" s="8">
        <v>4.41</v>
      </c>
      <c r="I35" s="12">
        <v>0</v>
      </c>
    </row>
    <row r="36" spans="2:9" ht="15" customHeight="1" x14ac:dyDescent="0.15">
      <c r="B36" t="s">
        <v>93</v>
      </c>
      <c r="C36" s="12">
        <v>17</v>
      </c>
      <c r="D36" s="8">
        <v>4.04</v>
      </c>
      <c r="E36" s="12">
        <v>8</v>
      </c>
      <c r="F36" s="8">
        <v>2.81</v>
      </c>
      <c r="G36" s="12">
        <v>9</v>
      </c>
      <c r="H36" s="8">
        <v>6.62</v>
      </c>
      <c r="I36" s="12">
        <v>0</v>
      </c>
    </row>
    <row r="37" spans="2:9" ht="15" customHeight="1" x14ac:dyDescent="0.15">
      <c r="B37" t="s">
        <v>103</v>
      </c>
      <c r="C37" s="12">
        <v>16</v>
      </c>
      <c r="D37" s="8">
        <v>3.8</v>
      </c>
      <c r="E37" s="12">
        <v>13</v>
      </c>
      <c r="F37" s="8">
        <v>4.5599999999999996</v>
      </c>
      <c r="G37" s="12">
        <v>3</v>
      </c>
      <c r="H37" s="8">
        <v>2.21</v>
      </c>
      <c r="I37" s="12">
        <v>0</v>
      </c>
    </row>
    <row r="38" spans="2:9" ht="15" customHeight="1" x14ac:dyDescent="0.15">
      <c r="B38" t="s">
        <v>87</v>
      </c>
      <c r="C38" s="12">
        <v>12</v>
      </c>
      <c r="D38" s="8">
        <v>2.85</v>
      </c>
      <c r="E38" s="12">
        <v>3</v>
      </c>
      <c r="F38" s="8">
        <v>1.05</v>
      </c>
      <c r="G38" s="12">
        <v>9</v>
      </c>
      <c r="H38" s="8">
        <v>6.62</v>
      </c>
      <c r="I38" s="12">
        <v>0</v>
      </c>
    </row>
    <row r="39" spans="2:9" ht="15" customHeight="1" x14ac:dyDescent="0.15">
      <c r="B39" t="s">
        <v>86</v>
      </c>
      <c r="C39" s="12">
        <v>10</v>
      </c>
      <c r="D39" s="8">
        <v>2.38</v>
      </c>
      <c r="E39" s="12">
        <v>4</v>
      </c>
      <c r="F39" s="8">
        <v>1.4</v>
      </c>
      <c r="G39" s="12">
        <v>6</v>
      </c>
      <c r="H39" s="8">
        <v>4.41</v>
      </c>
      <c r="I39" s="12">
        <v>0</v>
      </c>
    </row>
    <row r="40" spans="2:9" ht="15" customHeight="1" x14ac:dyDescent="0.15">
      <c r="B40" t="s">
        <v>95</v>
      </c>
      <c r="C40" s="12">
        <v>7</v>
      </c>
      <c r="D40" s="8">
        <v>1.66</v>
      </c>
      <c r="E40" s="12">
        <v>3</v>
      </c>
      <c r="F40" s="8">
        <v>1.05</v>
      </c>
      <c r="G40" s="12">
        <v>4</v>
      </c>
      <c r="H40" s="8">
        <v>2.94</v>
      </c>
      <c r="I40" s="12">
        <v>0</v>
      </c>
    </row>
    <row r="41" spans="2:9" ht="15" customHeight="1" x14ac:dyDescent="0.15">
      <c r="B41" t="s">
        <v>97</v>
      </c>
      <c r="C41" s="12">
        <v>6</v>
      </c>
      <c r="D41" s="8">
        <v>1.43</v>
      </c>
      <c r="E41" s="12">
        <v>6</v>
      </c>
      <c r="F41" s="8">
        <v>2.11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104</v>
      </c>
      <c r="C42" s="12">
        <v>6</v>
      </c>
      <c r="D42" s="8">
        <v>1.43</v>
      </c>
      <c r="E42" s="12">
        <v>1</v>
      </c>
      <c r="F42" s="8">
        <v>0.35</v>
      </c>
      <c r="G42" s="12">
        <v>5</v>
      </c>
      <c r="H42" s="8">
        <v>3.68</v>
      </c>
      <c r="I42" s="12">
        <v>0</v>
      </c>
    </row>
    <row r="43" spans="2:9" ht="15" customHeight="1" x14ac:dyDescent="0.15">
      <c r="B43" t="s">
        <v>91</v>
      </c>
      <c r="C43" s="12">
        <v>5</v>
      </c>
      <c r="D43" s="8">
        <v>1.19</v>
      </c>
      <c r="E43" s="12">
        <v>4</v>
      </c>
      <c r="F43" s="8">
        <v>1.4</v>
      </c>
      <c r="G43" s="12">
        <v>1</v>
      </c>
      <c r="H43" s="8">
        <v>0.74</v>
      </c>
      <c r="I43" s="12">
        <v>0</v>
      </c>
    </row>
    <row r="44" spans="2:9" ht="15" customHeight="1" x14ac:dyDescent="0.15">
      <c r="B44" t="s">
        <v>126</v>
      </c>
      <c r="C44" s="12">
        <v>5</v>
      </c>
      <c r="D44" s="8">
        <v>1.19</v>
      </c>
      <c r="E44" s="12">
        <v>2</v>
      </c>
      <c r="F44" s="8">
        <v>0.7</v>
      </c>
      <c r="G44" s="12">
        <v>3</v>
      </c>
      <c r="H44" s="8">
        <v>2.21</v>
      </c>
      <c r="I44" s="12">
        <v>0</v>
      </c>
    </row>
    <row r="45" spans="2:9" ht="15" customHeight="1" x14ac:dyDescent="0.15">
      <c r="B45" t="s">
        <v>88</v>
      </c>
      <c r="C45" s="12">
        <v>4</v>
      </c>
      <c r="D45" s="8">
        <v>0.95</v>
      </c>
      <c r="E45" s="12">
        <v>1</v>
      </c>
      <c r="F45" s="8">
        <v>0.35</v>
      </c>
      <c r="G45" s="12">
        <v>3</v>
      </c>
      <c r="H45" s="8">
        <v>2.21</v>
      </c>
      <c r="I45" s="12">
        <v>0</v>
      </c>
    </row>
    <row r="46" spans="2:9" ht="15" customHeight="1" x14ac:dyDescent="0.15">
      <c r="B46" t="s">
        <v>98</v>
      </c>
      <c r="C46" s="12">
        <v>4</v>
      </c>
      <c r="D46" s="8">
        <v>0.95</v>
      </c>
      <c r="E46" s="12">
        <v>2</v>
      </c>
      <c r="F46" s="8">
        <v>0.7</v>
      </c>
      <c r="G46" s="12">
        <v>2</v>
      </c>
      <c r="H46" s="8">
        <v>1.47</v>
      </c>
      <c r="I46" s="12">
        <v>0</v>
      </c>
    </row>
    <row r="47" spans="2:9" ht="15" customHeight="1" x14ac:dyDescent="0.15">
      <c r="B47" t="s">
        <v>106</v>
      </c>
      <c r="C47" s="12">
        <v>3</v>
      </c>
      <c r="D47" s="8">
        <v>0.71</v>
      </c>
      <c r="E47" s="12">
        <v>0</v>
      </c>
      <c r="F47" s="8">
        <v>0</v>
      </c>
      <c r="G47" s="12">
        <v>3</v>
      </c>
      <c r="H47" s="8">
        <v>2.21</v>
      </c>
      <c r="I47" s="12">
        <v>0</v>
      </c>
    </row>
    <row r="48" spans="2:9" ht="15" customHeight="1" x14ac:dyDescent="0.15">
      <c r="B48" t="s">
        <v>90</v>
      </c>
      <c r="C48" s="12">
        <v>3</v>
      </c>
      <c r="D48" s="8">
        <v>0.71</v>
      </c>
      <c r="E48" s="12">
        <v>2</v>
      </c>
      <c r="F48" s="8">
        <v>0.7</v>
      </c>
      <c r="G48" s="12">
        <v>1</v>
      </c>
      <c r="H48" s="8">
        <v>0.74</v>
      </c>
      <c r="I48" s="12">
        <v>0</v>
      </c>
    </row>
    <row r="51" spans="2:9" ht="33" customHeight="1" x14ac:dyDescent="0.15">
      <c r="B51" t="s">
        <v>226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148</v>
      </c>
      <c r="C52" s="12">
        <v>73</v>
      </c>
      <c r="D52" s="8">
        <v>17.34</v>
      </c>
      <c r="E52" s="12">
        <v>71</v>
      </c>
      <c r="F52" s="8">
        <v>24.91</v>
      </c>
      <c r="G52" s="12">
        <v>2</v>
      </c>
      <c r="H52" s="8">
        <v>1.47</v>
      </c>
      <c r="I52" s="12">
        <v>0</v>
      </c>
    </row>
    <row r="53" spans="2:9" ht="15" customHeight="1" x14ac:dyDescent="0.15">
      <c r="B53" t="s">
        <v>155</v>
      </c>
      <c r="C53" s="12">
        <v>28</v>
      </c>
      <c r="D53" s="8">
        <v>6.65</v>
      </c>
      <c r="E53" s="12">
        <v>24</v>
      </c>
      <c r="F53" s="8">
        <v>8.42</v>
      </c>
      <c r="G53" s="12">
        <v>4</v>
      </c>
      <c r="H53" s="8">
        <v>2.94</v>
      </c>
      <c r="I53" s="12">
        <v>0</v>
      </c>
    </row>
    <row r="54" spans="2:9" ht="15" customHeight="1" x14ac:dyDescent="0.15">
      <c r="B54" t="s">
        <v>147</v>
      </c>
      <c r="C54" s="12">
        <v>27</v>
      </c>
      <c r="D54" s="8">
        <v>6.41</v>
      </c>
      <c r="E54" s="12">
        <v>12</v>
      </c>
      <c r="F54" s="8">
        <v>4.21</v>
      </c>
      <c r="G54" s="12">
        <v>15</v>
      </c>
      <c r="H54" s="8">
        <v>11.03</v>
      </c>
      <c r="I54" s="12">
        <v>0</v>
      </c>
    </row>
    <row r="55" spans="2:9" ht="15" customHeight="1" x14ac:dyDescent="0.15">
      <c r="B55" t="s">
        <v>173</v>
      </c>
      <c r="C55" s="12">
        <v>24</v>
      </c>
      <c r="D55" s="8">
        <v>5.7</v>
      </c>
      <c r="E55" s="12">
        <v>22</v>
      </c>
      <c r="F55" s="8">
        <v>7.72</v>
      </c>
      <c r="G55" s="12">
        <v>2</v>
      </c>
      <c r="H55" s="8">
        <v>1.47</v>
      </c>
      <c r="I55" s="12">
        <v>0</v>
      </c>
    </row>
    <row r="56" spans="2:9" ht="15" customHeight="1" x14ac:dyDescent="0.15">
      <c r="B56" t="s">
        <v>151</v>
      </c>
      <c r="C56" s="12">
        <v>14</v>
      </c>
      <c r="D56" s="8">
        <v>3.33</v>
      </c>
      <c r="E56" s="12">
        <v>13</v>
      </c>
      <c r="F56" s="8">
        <v>4.5599999999999996</v>
      </c>
      <c r="G56" s="12">
        <v>1</v>
      </c>
      <c r="H56" s="8">
        <v>0.74</v>
      </c>
      <c r="I56" s="12">
        <v>0</v>
      </c>
    </row>
    <row r="57" spans="2:9" ht="15" customHeight="1" x14ac:dyDescent="0.15">
      <c r="B57" t="s">
        <v>156</v>
      </c>
      <c r="C57" s="12">
        <v>12</v>
      </c>
      <c r="D57" s="8">
        <v>2.85</v>
      </c>
      <c r="E57" s="12">
        <v>8</v>
      </c>
      <c r="F57" s="8">
        <v>2.81</v>
      </c>
      <c r="G57" s="12">
        <v>4</v>
      </c>
      <c r="H57" s="8">
        <v>2.94</v>
      </c>
      <c r="I57" s="12">
        <v>0</v>
      </c>
    </row>
    <row r="58" spans="2:9" ht="15" customHeight="1" x14ac:dyDescent="0.15">
      <c r="B58" t="s">
        <v>157</v>
      </c>
      <c r="C58" s="12">
        <v>10</v>
      </c>
      <c r="D58" s="8">
        <v>2.38</v>
      </c>
      <c r="E58" s="12">
        <v>8</v>
      </c>
      <c r="F58" s="8">
        <v>2.81</v>
      </c>
      <c r="G58" s="12">
        <v>2</v>
      </c>
      <c r="H58" s="8">
        <v>1.47</v>
      </c>
      <c r="I58" s="12">
        <v>0</v>
      </c>
    </row>
    <row r="59" spans="2:9" ht="15" customHeight="1" x14ac:dyDescent="0.15">
      <c r="B59" t="s">
        <v>174</v>
      </c>
      <c r="C59" s="12">
        <v>8</v>
      </c>
      <c r="D59" s="8">
        <v>1.9</v>
      </c>
      <c r="E59" s="12">
        <v>6</v>
      </c>
      <c r="F59" s="8">
        <v>2.11</v>
      </c>
      <c r="G59" s="12">
        <v>2</v>
      </c>
      <c r="H59" s="8">
        <v>1.47</v>
      </c>
      <c r="I59" s="12">
        <v>0</v>
      </c>
    </row>
    <row r="60" spans="2:9" ht="15" customHeight="1" x14ac:dyDescent="0.15">
      <c r="B60" t="s">
        <v>144</v>
      </c>
      <c r="C60" s="12">
        <v>8</v>
      </c>
      <c r="D60" s="8">
        <v>1.9</v>
      </c>
      <c r="E60" s="12">
        <v>2</v>
      </c>
      <c r="F60" s="8">
        <v>0.7</v>
      </c>
      <c r="G60" s="12">
        <v>6</v>
      </c>
      <c r="H60" s="8">
        <v>4.41</v>
      </c>
      <c r="I60" s="12">
        <v>0</v>
      </c>
    </row>
    <row r="61" spans="2:9" ht="15" customHeight="1" x14ac:dyDescent="0.15">
      <c r="B61" t="s">
        <v>152</v>
      </c>
      <c r="C61" s="12">
        <v>8</v>
      </c>
      <c r="D61" s="8">
        <v>1.9</v>
      </c>
      <c r="E61" s="12">
        <v>8</v>
      </c>
      <c r="F61" s="8">
        <v>2.81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154</v>
      </c>
      <c r="C62" s="12">
        <v>8</v>
      </c>
      <c r="D62" s="8">
        <v>1.9</v>
      </c>
      <c r="E62" s="12">
        <v>8</v>
      </c>
      <c r="F62" s="8">
        <v>2.81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138</v>
      </c>
      <c r="C63" s="12">
        <v>7</v>
      </c>
      <c r="D63" s="8">
        <v>1.66</v>
      </c>
      <c r="E63" s="12">
        <v>3</v>
      </c>
      <c r="F63" s="8">
        <v>1.05</v>
      </c>
      <c r="G63" s="12">
        <v>4</v>
      </c>
      <c r="H63" s="8">
        <v>2.94</v>
      </c>
      <c r="I63" s="12">
        <v>0</v>
      </c>
    </row>
    <row r="64" spans="2:9" ht="15" customHeight="1" x14ac:dyDescent="0.15">
      <c r="B64" t="s">
        <v>139</v>
      </c>
      <c r="C64" s="12">
        <v>7</v>
      </c>
      <c r="D64" s="8">
        <v>1.66</v>
      </c>
      <c r="E64" s="12">
        <v>2</v>
      </c>
      <c r="F64" s="8">
        <v>0.7</v>
      </c>
      <c r="G64" s="12">
        <v>5</v>
      </c>
      <c r="H64" s="8">
        <v>3.68</v>
      </c>
      <c r="I64" s="12">
        <v>0</v>
      </c>
    </row>
    <row r="65" spans="2:9" ht="15" customHeight="1" x14ac:dyDescent="0.15">
      <c r="B65" t="s">
        <v>141</v>
      </c>
      <c r="C65" s="12">
        <v>7</v>
      </c>
      <c r="D65" s="8">
        <v>1.66</v>
      </c>
      <c r="E65" s="12">
        <v>1</v>
      </c>
      <c r="F65" s="8">
        <v>0.35</v>
      </c>
      <c r="G65" s="12">
        <v>6</v>
      </c>
      <c r="H65" s="8">
        <v>4.41</v>
      </c>
      <c r="I65" s="12">
        <v>0</v>
      </c>
    </row>
    <row r="66" spans="2:9" ht="15" customHeight="1" x14ac:dyDescent="0.15">
      <c r="B66" t="s">
        <v>150</v>
      </c>
      <c r="C66" s="12">
        <v>7</v>
      </c>
      <c r="D66" s="8">
        <v>1.66</v>
      </c>
      <c r="E66" s="12">
        <v>5</v>
      </c>
      <c r="F66" s="8">
        <v>1.75</v>
      </c>
      <c r="G66" s="12">
        <v>2</v>
      </c>
      <c r="H66" s="8">
        <v>1.47</v>
      </c>
      <c r="I66" s="12">
        <v>0</v>
      </c>
    </row>
    <row r="67" spans="2:9" ht="15" customHeight="1" x14ac:dyDescent="0.15">
      <c r="B67" t="s">
        <v>175</v>
      </c>
      <c r="C67" s="12">
        <v>7</v>
      </c>
      <c r="D67" s="8">
        <v>1.66</v>
      </c>
      <c r="E67" s="12">
        <v>5</v>
      </c>
      <c r="F67" s="8">
        <v>1.75</v>
      </c>
      <c r="G67" s="12">
        <v>2</v>
      </c>
      <c r="H67" s="8">
        <v>1.47</v>
      </c>
      <c r="I67" s="12">
        <v>0</v>
      </c>
    </row>
    <row r="68" spans="2:9" ht="15" customHeight="1" x14ac:dyDescent="0.15">
      <c r="B68" t="s">
        <v>166</v>
      </c>
      <c r="C68" s="12">
        <v>6</v>
      </c>
      <c r="D68" s="8">
        <v>1.43</v>
      </c>
      <c r="E68" s="12">
        <v>6</v>
      </c>
      <c r="F68" s="8">
        <v>2.11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143</v>
      </c>
      <c r="C69" s="12">
        <v>6</v>
      </c>
      <c r="D69" s="8">
        <v>1.43</v>
      </c>
      <c r="E69" s="12">
        <v>3</v>
      </c>
      <c r="F69" s="8">
        <v>1.05</v>
      </c>
      <c r="G69" s="12">
        <v>3</v>
      </c>
      <c r="H69" s="8">
        <v>2.21</v>
      </c>
      <c r="I69" s="12">
        <v>0</v>
      </c>
    </row>
    <row r="70" spans="2:9" ht="15" customHeight="1" x14ac:dyDescent="0.15">
      <c r="B70" t="s">
        <v>145</v>
      </c>
      <c r="C70" s="12">
        <v>6</v>
      </c>
      <c r="D70" s="8">
        <v>1.43</v>
      </c>
      <c r="E70" s="12">
        <v>4</v>
      </c>
      <c r="F70" s="8">
        <v>1.4</v>
      </c>
      <c r="G70" s="12">
        <v>2</v>
      </c>
      <c r="H70" s="8">
        <v>1.47</v>
      </c>
      <c r="I70" s="12">
        <v>0</v>
      </c>
    </row>
    <row r="71" spans="2:9" ht="15" customHeight="1" x14ac:dyDescent="0.15">
      <c r="B71" t="s">
        <v>146</v>
      </c>
      <c r="C71" s="12">
        <v>6</v>
      </c>
      <c r="D71" s="8">
        <v>1.43</v>
      </c>
      <c r="E71" s="12">
        <v>3</v>
      </c>
      <c r="F71" s="8">
        <v>1.05</v>
      </c>
      <c r="G71" s="12">
        <v>3</v>
      </c>
      <c r="H71" s="8">
        <v>2.21</v>
      </c>
      <c r="I71" s="12">
        <v>0</v>
      </c>
    </row>
    <row r="72" spans="2:9" ht="15" customHeight="1" x14ac:dyDescent="0.15">
      <c r="B72" t="s">
        <v>153</v>
      </c>
      <c r="C72" s="12">
        <v>6</v>
      </c>
      <c r="D72" s="8">
        <v>1.43</v>
      </c>
      <c r="E72" s="12">
        <v>2</v>
      </c>
      <c r="F72" s="8">
        <v>0.7</v>
      </c>
      <c r="G72" s="12">
        <v>4</v>
      </c>
      <c r="H72" s="8">
        <v>2.94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420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90</v>
      </c>
      <c r="D6" s="8">
        <v>11.81</v>
      </c>
      <c r="E6" s="12">
        <v>21</v>
      </c>
      <c r="F6" s="8">
        <v>6.89</v>
      </c>
      <c r="G6" s="12">
        <v>69</v>
      </c>
      <c r="H6" s="8">
        <v>15.3</v>
      </c>
      <c r="I6" s="12">
        <v>0</v>
      </c>
    </row>
    <row r="7" spans="2:9" ht="15" customHeight="1" x14ac:dyDescent="0.15">
      <c r="B7" t="s">
        <v>64</v>
      </c>
      <c r="C7" s="12">
        <v>16</v>
      </c>
      <c r="D7" s="8">
        <v>2.1</v>
      </c>
      <c r="E7" s="12">
        <v>13</v>
      </c>
      <c r="F7" s="8">
        <v>4.26</v>
      </c>
      <c r="G7" s="12">
        <v>3</v>
      </c>
      <c r="H7" s="8">
        <v>0.67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0.22</v>
      </c>
      <c r="I9" s="12">
        <v>0</v>
      </c>
    </row>
    <row r="10" spans="2:9" ht="15" customHeight="1" x14ac:dyDescent="0.15">
      <c r="B10" t="s">
        <v>67</v>
      </c>
      <c r="C10" s="12">
        <v>8</v>
      </c>
      <c r="D10" s="8">
        <v>1.05</v>
      </c>
      <c r="E10" s="12">
        <v>0</v>
      </c>
      <c r="F10" s="8">
        <v>0</v>
      </c>
      <c r="G10" s="12">
        <v>6</v>
      </c>
      <c r="H10" s="8">
        <v>1.33</v>
      </c>
      <c r="I10" s="12">
        <v>2</v>
      </c>
    </row>
    <row r="11" spans="2:9" ht="15" customHeight="1" x14ac:dyDescent="0.15">
      <c r="B11" t="s">
        <v>68</v>
      </c>
      <c r="C11" s="12">
        <v>149</v>
      </c>
      <c r="D11" s="8">
        <v>19.55</v>
      </c>
      <c r="E11" s="12">
        <v>58</v>
      </c>
      <c r="F11" s="8">
        <v>19.02</v>
      </c>
      <c r="G11" s="12">
        <v>91</v>
      </c>
      <c r="H11" s="8">
        <v>20.18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0.13</v>
      </c>
      <c r="E12" s="12">
        <v>0</v>
      </c>
      <c r="F12" s="8">
        <v>0</v>
      </c>
      <c r="G12" s="12">
        <v>1</v>
      </c>
      <c r="H12" s="8">
        <v>0.22</v>
      </c>
      <c r="I12" s="12">
        <v>0</v>
      </c>
    </row>
    <row r="13" spans="2:9" ht="15" customHeight="1" x14ac:dyDescent="0.15">
      <c r="B13" t="s">
        <v>70</v>
      </c>
      <c r="C13" s="12">
        <v>90</v>
      </c>
      <c r="D13" s="8">
        <v>11.81</v>
      </c>
      <c r="E13" s="12">
        <v>37</v>
      </c>
      <c r="F13" s="8">
        <v>12.13</v>
      </c>
      <c r="G13" s="12">
        <v>52</v>
      </c>
      <c r="H13" s="8">
        <v>11.53</v>
      </c>
      <c r="I13" s="12">
        <v>1</v>
      </c>
    </row>
    <row r="14" spans="2:9" ht="15" customHeight="1" x14ac:dyDescent="0.15">
      <c r="B14" t="s">
        <v>71</v>
      </c>
      <c r="C14" s="12">
        <v>16</v>
      </c>
      <c r="D14" s="8">
        <v>2.1</v>
      </c>
      <c r="E14" s="12">
        <v>3</v>
      </c>
      <c r="F14" s="8">
        <v>0.98</v>
      </c>
      <c r="G14" s="12">
        <v>13</v>
      </c>
      <c r="H14" s="8">
        <v>2.88</v>
      </c>
      <c r="I14" s="12">
        <v>0</v>
      </c>
    </row>
    <row r="15" spans="2:9" ht="15" customHeight="1" x14ac:dyDescent="0.15">
      <c r="B15" t="s">
        <v>72</v>
      </c>
      <c r="C15" s="12">
        <v>300</v>
      </c>
      <c r="D15" s="8">
        <v>39.369999999999997</v>
      </c>
      <c r="E15" s="12">
        <v>117</v>
      </c>
      <c r="F15" s="8">
        <v>38.36</v>
      </c>
      <c r="G15" s="12">
        <v>182</v>
      </c>
      <c r="H15" s="8">
        <v>40.35</v>
      </c>
      <c r="I15" s="12">
        <v>1</v>
      </c>
    </row>
    <row r="16" spans="2:9" ht="15" customHeight="1" x14ac:dyDescent="0.15">
      <c r="B16" t="s">
        <v>73</v>
      </c>
      <c r="C16" s="12">
        <v>49</v>
      </c>
      <c r="D16" s="8">
        <v>6.43</v>
      </c>
      <c r="E16" s="12">
        <v>34</v>
      </c>
      <c r="F16" s="8">
        <v>11.15</v>
      </c>
      <c r="G16" s="12">
        <v>14</v>
      </c>
      <c r="H16" s="8">
        <v>3.1</v>
      </c>
      <c r="I16" s="12">
        <v>1</v>
      </c>
    </row>
    <row r="17" spans="2:9" ht="15" customHeight="1" x14ac:dyDescent="0.15">
      <c r="B17" t="s">
        <v>74</v>
      </c>
      <c r="C17" s="12">
        <v>12</v>
      </c>
      <c r="D17" s="8">
        <v>1.57</v>
      </c>
      <c r="E17" s="12">
        <v>6</v>
      </c>
      <c r="F17" s="8">
        <v>1.97</v>
      </c>
      <c r="G17" s="12">
        <v>6</v>
      </c>
      <c r="H17" s="8">
        <v>1.33</v>
      </c>
      <c r="I17" s="12">
        <v>0</v>
      </c>
    </row>
    <row r="18" spans="2:9" ht="15" customHeight="1" x14ac:dyDescent="0.15">
      <c r="B18" t="s">
        <v>75</v>
      </c>
      <c r="C18" s="12">
        <v>11</v>
      </c>
      <c r="D18" s="8">
        <v>1.44</v>
      </c>
      <c r="E18" s="12">
        <v>11</v>
      </c>
      <c r="F18" s="8">
        <v>3.61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76</v>
      </c>
      <c r="C19" s="12">
        <v>19</v>
      </c>
      <c r="D19" s="8">
        <v>2.4900000000000002</v>
      </c>
      <c r="E19" s="12">
        <v>5</v>
      </c>
      <c r="F19" s="8">
        <v>1.64</v>
      </c>
      <c r="G19" s="12">
        <v>13</v>
      </c>
      <c r="H19" s="8">
        <v>2.88</v>
      </c>
      <c r="I19" s="12">
        <v>1</v>
      </c>
    </row>
    <row r="20" spans="2:9" ht="15" customHeight="1" x14ac:dyDescent="0.15">
      <c r="B20" s="9" t="s">
        <v>216</v>
      </c>
      <c r="C20" s="12">
        <f>SUM(LTBL_14382[総数／事業所数])</f>
        <v>762</v>
      </c>
      <c r="E20" s="12">
        <f>SUBTOTAL(109,LTBL_14382[個人／事業所数])</f>
        <v>305</v>
      </c>
      <c r="G20" s="12">
        <f>SUBTOTAL(109,LTBL_14382[法人／事業所数])</f>
        <v>451</v>
      </c>
      <c r="I20" s="12">
        <f>SUBTOTAL(109,LTBL_14382[法人以外の団体／事業所数])</f>
        <v>6</v>
      </c>
    </row>
    <row r="21" spans="2:9" ht="15" customHeight="1" x14ac:dyDescent="0.15">
      <c r="E21" s="11">
        <f>LTBL_14382[[#Totals],[個人／事業所数]]/LTBL_14382[[#Totals],[総数／事業所数]]</f>
        <v>0.40026246719160102</v>
      </c>
      <c r="G21" s="11">
        <f>LTBL_14382[[#Totals],[法人／事業所数]]/LTBL_14382[[#Totals],[総数／事業所数]]</f>
        <v>0.59186351706036744</v>
      </c>
      <c r="I21" s="11">
        <f>LTBL_14382[[#Totals],[法人以外の団体／事業所数]]/LTBL_14382[[#Totals],[総数／事業所数]]</f>
        <v>7.874015748031496E-3</v>
      </c>
    </row>
    <row r="23" spans="2:9" ht="33" customHeight="1" x14ac:dyDescent="0.15">
      <c r="B23" t="s">
        <v>215</v>
      </c>
      <c r="C23" s="10" t="s">
        <v>78</v>
      </c>
      <c r="D23" s="10" t="s">
        <v>421</v>
      </c>
      <c r="E23" s="10" t="s">
        <v>80</v>
      </c>
      <c r="F23" s="10" t="s">
        <v>422</v>
      </c>
      <c r="G23" s="10" t="s">
        <v>82</v>
      </c>
      <c r="H23" s="10" t="s">
        <v>423</v>
      </c>
      <c r="I23" s="10" t="s">
        <v>84</v>
      </c>
    </row>
    <row r="24" spans="2:9" ht="15" customHeight="1" x14ac:dyDescent="0.15">
      <c r="B24" t="s">
        <v>218</v>
      </c>
      <c r="C24">
        <v>4</v>
      </c>
      <c r="D24" t="s">
        <v>217</v>
      </c>
      <c r="E24">
        <v>0</v>
      </c>
      <c r="F24" t="s">
        <v>219</v>
      </c>
      <c r="G24">
        <v>4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1</v>
      </c>
      <c r="D25" t="s">
        <v>217</v>
      </c>
      <c r="E25">
        <v>0</v>
      </c>
      <c r="F25" t="s">
        <v>219</v>
      </c>
      <c r="G25">
        <v>1</v>
      </c>
      <c r="H25" t="s">
        <v>220</v>
      </c>
      <c r="I25">
        <v>0</v>
      </c>
    </row>
    <row r="28" spans="2:9" ht="33" customHeight="1" x14ac:dyDescent="0.15">
      <c r="B28" t="s">
        <v>424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111</v>
      </c>
      <c r="C29" s="12">
        <v>156</v>
      </c>
      <c r="D29" s="8">
        <v>20.47</v>
      </c>
      <c r="E29" s="12">
        <v>32</v>
      </c>
      <c r="F29" s="8">
        <v>10.49</v>
      </c>
      <c r="G29" s="12">
        <v>123</v>
      </c>
      <c r="H29" s="8">
        <v>27.27</v>
      </c>
      <c r="I29" s="12">
        <v>1</v>
      </c>
    </row>
    <row r="30" spans="2:9" ht="15" customHeight="1" x14ac:dyDescent="0.15">
      <c r="B30" t="s">
        <v>99</v>
      </c>
      <c r="C30" s="12">
        <v>132</v>
      </c>
      <c r="D30" s="8">
        <v>17.32</v>
      </c>
      <c r="E30" s="12">
        <v>85</v>
      </c>
      <c r="F30" s="8">
        <v>27.87</v>
      </c>
      <c r="G30" s="12">
        <v>47</v>
      </c>
      <c r="H30" s="8">
        <v>10.42</v>
      </c>
      <c r="I30" s="12">
        <v>0</v>
      </c>
    </row>
    <row r="31" spans="2:9" ht="15" customHeight="1" x14ac:dyDescent="0.15">
      <c r="B31" t="s">
        <v>96</v>
      </c>
      <c r="C31" s="12">
        <v>79</v>
      </c>
      <c r="D31" s="8">
        <v>10.37</v>
      </c>
      <c r="E31" s="12">
        <v>34</v>
      </c>
      <c r="F31" s="8">
        <v>11.15</v>
      </c>
      <c r="G31" s="12">
        <v>44</v>
      </c>
      <c r="H31" s="8">
        <v>9.76</v>
      </c>
      <c r="I31" s="12">
        <v>1</v>
      </c>
    </row>
    <row r="32" spans="2:9" ht="15" customHeight="1" x14ac:dyDescent="0.15">
      <c r="B32" t="s">
        <v>94</v>
      </c>
      <c r="C32" s="12">
        <v>61</v>
      </c>
      <c r="D32" s="8">
        <v>8.01</v>
      </c>
      <c r="E32" s="12">
        <v>29</v>
      </c>
      <c r="F32" s="8">
        <v>9.51</v>
      </c>
      <c r="G32" s="12">
        <v>32</v>
      </c>
      <c r="H32" s="8">
        <v>7.1</v>
      </c>
      <c r="I32" s="12">
        <v>0</v>
      </c>
    </row>
    <row r="33" spans="2:9" ht="15" customHeight="1" x14ac:dyDescent="0.15">
      <c r="B33" t="s">
        <v>92</v>
      </c>
      <c r="C33" s="12">
        <v>59</v>
      </c>
      <c r="D33" s="8">
        <v>7.74</v>
      </c>
      <c r="E33" s="12">
        <v>19</v>
      </c>
      <c r="F33" s="8">
        <v>6.23</v>
      </c>
      <c r="G33" s="12">
        <v>40</v>
      </c>
      <c r="H33" s="8">
        <v>8.8699999999999992</v>
      </c>
      <c r="I33" s="12">
        <v>0</v>
      </c>
    </row>
    <row r="34" spans="2:9" ht="15" customHeight="1" x14ac:dyDescent="0.15">
      <c r="B34" t="s">
        <v>85</v>
      </c>
      <c r="C34" s="12">
        <v>45</v>
      </c>
      <c r="D34" s="8">
        <v>5.91</v>
      </c>
      <c r="E34" s="12">
        <v>6</v>
      </c>
      <c r="F34" s="8">
        <v>1.97</v>
      </c>
      <c r="G34" s="12">
        <v>39</v>
      </c>
      <c r="H34" s="8">
        <v>8.65</v>
      </c>
      <c r="I34" s="12">
        <v>0</v>
      </c>
    </row>
    <row r="35" spans="2:9" ht="15" customHeight="1" x14ac:dyDescent="0.15">
      <c r="B35" t="s">
        <v>100</v>
      </c>
      <c r="C35" s="12">
        <v>32</v>
      </c>
      <c r="D35" s="8">
        <v>4.2</v>
      </c>
      <c r="E35" s="12">
        <v>24</v>
      </c>
      <c r="F35" s="8">
        <v>7.87</v>
      </c>
      <c r="G35" s="12">
        <v>7</v>
      </c>
      <c r="H35" s="8">
        <v>1.55</v>
      </c>
      <c r="I35" s="12">
        <v>1</v>
      </c>
    </row>
    <row r="36" spans="2:9" ht="15" customHeight="1" x14ac:dyDescent="0.15">
      <c r="B36" t="s">
        <v>87</v>
      </c>
      <c r="C36" s="12">
        <v>25</v>
      </c>
      <c r="D36" s="8">
        <v>3.28</v>
      </c>
      <c r="E36" s="12">
        <v>7</v>
      </c>
      <c r="F36" s="8">
        <v>2.2999999999999998</v>
      </c>
      <c r="G36" s="12">
        <v>18</v>
      </c>
      <c r="H36" s="8">
        <v>3.99</v>
      </c>
      <c r="I36" s="12">
        <v>0</v>
      </c>
    </row>
    <row r="37" spans="2:9" ht="15" customHeight="1" x14ac:dyDescent="0.15">
      <c r="B37" t="s">
        <v>86</v>
      </c>
      <c r="C37" s="12">
        <v>20</v>
      </c>
      <c r="D37" s="8">
        <v>2.62</v>
      </c>
      <c r="E37" s="12">
        <v>8</v>
      </c>
      <c r="F37" s="8">
        <v>2.62</v>
      </c>
      <c r="G37" s="12">
        <v>12</v>
      </c>
      <c r="H37" s="8">
        <v>2.66</v>
      </c>
      <c r="I37" s="12">
        <v>0</v>
      </c>
    </row>
    <row r="38" spans="2:9" ht="15" customHeight="1" x14ac:dyDescent="0.15">
      <c r="B38" t="s">
        <v>91</v>
      </c>
      <c r="C38" s="12">
        <v>16</v>
      </c>
      <c r="D38" s="8">
        <v>2.1</v>
      </c>
      <c r="E38" s="12">
        <v>8</v>
      </c>
      <c r="F38" s="8">
        <v>2.62</v>
      </c>
      <c r="G38" s="12">
        <v>8</v>
      </c>
      <c r="H38" s="8">
        <v>1.77</v>
      </c>
      <c r="I38" s="12">
        <v>0</v>
      </c>
    </row>
    <row r="39" spans="2:9" ht="15" customHeight="1" x14ac:dyDescent="0.15">
      <c r="B39" t="s">
        <v>126</v>
      </c>
      <c r="C39" s="12">
        <v>12</v>
      </c>
      <c r="D39" s="8">
        <v>1.57</v>
      </c>
      <c r="E39" s="12">
        <v>0</v>
      </c>
      <c r="F39" s="8">
        <v>0</v>
      </c>
      <c r="G39" s="12">
        <v>12</v>
      </c>
      <c r="H39" s="8">
        <v>2.66</v>
      </c>
      <c r="I39" s="12">
        <v>0</v>
      </c>
    </row>
    <row r="40" spans="2:9" ht="15" customHeight="1" x14ac:dyDescent="0.15">
      <c r="B40" t="s">
        <v>102</v>
      </c>
      <c r="C40" s="12">
        <v>12</v>
      </c>
      <c r="D40" s="8">
        <v>1.57</v>
      </c>
      <c r="E40" s="12">
        <v>6</v>
      </c>
      <c r="F40" s="8">
        <v>1.97</v>
      </c>
      <c r="G40" s="12">
        <v>6</v>
      </c>
      <c r="H40" s="8">
        <v>1.33</v>
      </c>
      <c r="I40" s="12">
        <v>0</v>
      </c>
    </row>
    <row r="41" spans="2:9" ht="15" customHeight="1" x14ac:dyDescent="0.15">
      <c r="B41" t="s">
        <v>116</v>
      </c>
      <c r="C41" s="12">
        <v>11</v>
      </c>
      <c r="D41" s="8">
        <v>1.44</v>
      </c>
      <c r="E41" s="12">
        <v>8</v>
      </c>
      <c r="F41" s="8">
        <v>2.62</v>
      </c>
      <c r="G41" s="12">
        <v>3</v>
      </c>
      <c r="H41" s="8">
        <v>0.67</v>
      </c>
      <c r="I41" s="12">
        <v>0</v>
      </c>
    </row>
    <row r="42" spans="2:9" ht="15" customHeight="1" x14ac:dyDescent="0.15">
      <c r="B42" t="s">
        <v>103</v>
      </c>
      <c r="C42" s="12">
        <v>11</v>
      </c>
      <c r="D42" s="8">
        <v>1.44</v>
      </c>
      <c r="E42" s="12">
        <v>11</v>
      </c>
      <c r="F42" s="8">
        <v>3.61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104</v>
      </c>
      <c r="C43" s="12">
        <v>11</v>
      </c>
      <c r="D43" s="8">
        <v>1.44</v>
      </c>
      <c r="E43" s="12">
        <v>0</v>
      </c>
      <c r="F43" s="8">
        <v>0</v>
      </c>
      <c r="G43" s="12">
        <v>10</v>
      </c>
      <c r="H43" s="8">
        <v>2.2200000000000002</v>
      </c>
      <c r="I43" s="12">
        <v>1</v>
      </c>
    </row>
    <row r="44" spans="2:9" ht="15" customHeight="1" x14ac:dyDescent="0.15">
      <c r="B44" t="s">
        <v>98</v>
      </c>
      <c r="C44" s="12">
        <v>10</v>
      </c>
      <c r="D44" s="8">
        <v>1.31</v>
      </c>
      <c r="E44" s="12">
        <v>1</v>
      </c>
      <c r="F44" s="8">
        <v>0.33</v>
      </c>
      <c r="G44" s="12">
        <v>9</v>
      </c>
      <c r="H44" s="8">
        <v>2</v>
      </c>
      <c r="I44" s="12">
        <v>0</v>
      </c>
    </row>
    <row r="45" spans="2:9" ht="15" customHeight="1" x14ac:dyDescent="0.15">
      <c r="B45" t="s">
        <v>127</v>
      </c>
      <c r="C45" s="12">
        <v>7</v>
      </c>
      <c r="D45" s="8">
        <v>0.92</v>
      </c>
      <c r="E45" s="12">
        <v>7</v>
      </c>
      <c r="F45" s="8">
        <v>2.2999999999999998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107</v>
      </c>
      <c r="C46" s="12">
        <v>7</v>
      </c>
      <c r="D46" s="8">
        <v>0.92</v>
      </c>
      <c r="E46" s="12">
        <v>2</v>
      </c>
      <c r="F46" s="8">
        <v>0.66</v>
      </c>
      <c r="G46" s="12">
        <v>5</v>
      </c>
      <c r="H46" s="8">
        <v>1.1100000000000001</v>
      </c>
      <c r="I46" s="12">
        <v>0</v>
      </c>
    </row>
    <row r="47" spans="2:9" ht="15" customHeight="1" x14ac:dyDescent="0.15">
      <c r="B47" t="s">
        <v>129</v>
      </c>
      <c r="C47" s="12">
        <v>6</v>
      </c>
      <c r="D47" s="8">
        <v>0.79</v>
      </c>
      <c r="E47" s="12">
        <v>3</v>
      </c>
      <c r="F47" s="8">
        <v>0.98</v>
      </c>
      <c r="G47" s="12">
        <v>3</v>
      </c>
      <c r="H47" s="8">
        <v>0.67</v>
      </c>
      <c r="I47" s="12">
        <v>0</v>
      </c>
    </row>
    <row r="48" spans="2:9" ht="15" customHeight="1" x14ac:dyDescent="0.15">
      <c r="B48" t="s">
        <v>101</v>
      </c>
      <c r="C48" s="12">
        <v>6</v>
      </c>
      <c r="D48" s="8">
        <v>0.79</v>
      </c>
      <c r="E48" s="12">
        <v>2</v>
      </c>
      <c r="F48" s="8">
        <v>0.66</v>
      </c>
      <c r="G48" s="12">
        <v>4</v>
      </c>
      <c r="H48" s="8">
        <v>0.89</v>
      </c>
      <c r="I48" s="12">
        <v>0</v>
      </c>
    </row>
    <row r="51" spans="2:9" ht="33" customHeight="1" x14ac:dyDescent="0.15">
      <c r="B51" t="s">
        <v>425</v>
      </c>
      <c r="C51" s="10" t="s">
        <v>78</v>
      </c>
      <c r="D51" s="10" t="s">
        <v>79</v>
      </c>
      <c r="E51" s="10" t="s">
        <v>80</v>
      </c>
      <c r="F51" s="10" t="s">
        <v>81</v>
      </c>
      <c r="G51" s="10" t="s">
        <v>82</v>
      </c>
      <c r="H51" s="10" t="s">
        <v>83</v>
      </c>
      <c r="I51" s="10" t="s">
        <v>84</v>
      </c>
    </row>
    <row r="52" spans="2:9" ht="15" customHeight="1" x14ac:dyDescent="0.15">
      <c r="B52" t="s">
        <v>204</v>
      </c>
      <c r="C52" s="12">
        <v>92</v>
      </c>
      <c r="D52" s="8">
        <v>12.07</v>
      </c>
      <c r="E52" s="12">
        <v>2</v>
      </c>
      <c r="F52" s="8">
        <v>0.66</v>
      </c>
      <c r="G52" s="12">
        <v>90</v>
      </c>
      <c r="H52" s="8">
        <v>19.96</v>
      </c>
      <c r="I52" s="12">
        <v>0</v>
      </c>
    </row>
    <row r="53" spans="2:9" ht="15" customHeight="1" x14ac:dyDescent="0.15">
      <c r="B53" t="s">
        <v>187</v>
      </c>
      <c r="C53" s="12">
        <v>56</v>
      </c>
      <c r="D53" s="8">
        <v>7.35</v>
      </c>
      <c r="E53" s="12">
        <v>26</v>
      </c>
      <c r="F53" s="8">
        <v>8.52</v>
      </c>
      <c r="G53" s="12">
        <v>30</v>
      </c>
      <c r="H53" s="8">
        <v>6.65</v>
      </c>
      <c r="I53" s="12">
        <v>0</v>
      </c>
    </row>
    <row r="54" spans="2:9" ht="15" customHeight="1" x14ac:dyDescent="0.15">
      <c r="B54" t="s">
        <v>145</v>
      </c>
      <c r="C54" s="12">
        <v>44</v>
      </c>
      <c r="D54" s="8">
        <v>5.77</v>
      </c>
      <c r="E54" s="12">
        <v>22</v>
      </c>
      <c r="F54" s="8">
        <v>7.21</v>
      </c>
      <c r="G54" s="12">
        <v>22</v>
      </c>
      <c r="H54" s="8">
        <v>4.88</v>
      </c>
      <c r="I54" s="12">
        <v>0</v>
      </c>
    </row>
    <row r="55" spans="2:9" ht="15" customHeight="1" x14ac:dyDescent="0.15">
      <c r="B55" t="s">
        <v>149</v>
      </c>
      <c r="C55" s="12">
        <v>37</v>
      </c>
      <c r="D55" s="8">
        <v>4.8600000000000003</v>
      </c>
      <c r="E55" s="12">
        <v>0</v>
      </c>
      <c r="F55" s="8">
        <v>0</v>
      </c>
      <c r="G55" s="12">
        <v>36</v>
      </c>
      <c r="H55" s="8">
        <v>7.98</v>
      </c>
      <c r="I55" s="12">
        <v>1</v>
      </c>
    </row>
    <row r="56" spans="2:9" ht="15" customHeight="1" x14ac:dyDescent="0.15">
      <c r="B56" t="s">
        <v>183</v>
      </c>
      <c r="C56" s="12">
        <v>35</v>
      </c>
      <c r="D56" s="8">
        <v>4.59</v>
      </c>
      <c r="E56" s="12">
        <v>13</v>
      </c>
      <c r="F56" s="8">
        <v>4.26</v>
      </c>
      <c r="G56" s="12">
        <v>22</v>
      </c>
      <c r="H56" s="8">
        <v>4.88</v>
      </c>
      <c r="I56" s="12">
        <v>0</v>
      </c>
    </row>
    <row r="57" spans="2:9" ht="15" customHeight="1" x14ac:dyDescent="0.15">
      <c r="B57" t="s">
        <v>150</v>
      </c>
      <c r="C57" s="12">
        <v>32</v>
      </c>
      <c r="D57" s="8">
        <v>4.2</v>
      </c>
      <c r="E57" s="12">
        <v>20</v>
      </c>
      <c r="F57" s="8">
        <v>6.56</v>
      </c>
      <c r="G57" s="12">
        <v>12</v>
      </c>
      <c r="H57" s="8">
        <v>2.66</v>
      </c>
      <c r="I57" s="12">
        <v>0</v>
      </c>
    </row>
    <row r="58" spans="2:9" ht="15" customHeight="1" x14ac:dyDescent="0.15">
      <c r="B58" t="s">
        <v>148</v>
      </c>
      <c r="C58" s="12">
        <v>26</v>
      </c>
      <c r="D58" s="8">
        <v>3.41</v>
      </c>
      <c r="E58" s="12">
        <v>22</v>
      </c>
      <c r="F58" s="8">
        <v>7.21</v>
      </c>
      <c r="G58" s="12">
        <v>4</v>
      </c>
      <c r="H58" s="8">
        <v>0.89</v>
      </c>
      <c r="I58" s="12">
        <v>0</v>
      </c>
    </row>
    <row r="59" spans="2:9" ht="15" customHeight="1" x14ac:dyDescent="0.15">
      <c r="B59" t="s">
        <v>138</v>
      </c>
      <c r="C59" s="12">
        <v>23</v>
      </c>
      <c r="D59" s="8">
        <v>3.02</v>
      </c>
      <c r="E59" s="12">
        <v>3</v>
      </c>
      <c r="F59" s="8">
        <v>0.98</v>
      </c>
      <c r="G59" s="12">
        <v>20</v>
      </c>
      <c r="H59" s="8">
        <v>4.43</v>
      </c>
      <c r="I59" s="12">
        <v>0</v>
      </c>
    </row>
    <row r="60" spans="2:9" ht="15" customHeight="1" x14ac:dyDescent="0.15">
      <c r="B60" t="s">
        <v>166</v>
      </c>
      <c r="C60" s="12">
        <v>19</v>
      </c>
      <c r="D60" s="8">
        <v>2.4900000000000002</v>
      </c>
      <c r="E60" s="12">
        <v>4</v>
      </c>
      <c r="F60" s="8">
        <v>1.31</v>
      </c>
      <c r="G60" s="12">
        <v>15</v>
      </c>
      <c r="H60" s="8">
        <v>3.33</v>
      </c>
      <c r="I60" s="12">
        <v>0</v>
      </c>
    </row>
    <row r="61" spans="2:9" ht="15" customHeight="1" x14ac:dyDescent="0.15">
      <c r="B61" t="s">
        <v>205</v>
      </c>
      <c r="C61" s="12">
        <v>18</v>
      </c>
      <c r="D61" s="8">
        <v>2.36</v>
      </c>
      <c r="E61" s="12">
        <v>13</v>
      </c>
      <c r="F61" s="8">
        <v>4.26</v>
      </c>
      <c r="G61" s="12">
        <v>5</v>
      </c>
      <c r="H61" s="8">
        <v>1.1100000000000001</v>
      </c>
      <c r="I61" s="12">
        <v>0</v>
      </c>
    </row>
    <row r="62" spans="2:9" ht="15" customHeight="1" x14ac:dyDescent="0.15">
      <c r="B62" t="s">
        <v>143</v>
      </c>
      <c r="C62" s="12">
        <v>16</v>
      </c>
      <c r="D62" s="8">
        <v>2.1</v>
      </c>
      <c r="E62" s="12">
        <v>7</v>
      </c>
      <c r="F62" s="8">
        <v>2.2999999999999998</v>
      </c>
      <c r="G62" s="12">
        <v>9</v>
      </c>
      <c r="H62" s="8">
        <v>2</v>
      </c>
      <c r="I62" s="12">
        <v>0</v>
      </c>
    </row>
    <row r="63" spans="2:9" ht="15" customHeight="1" x14ac:dyDescent="0.15">
      <c r="B63" t="s">
        <v>173</v>
      </c>
      <c r="C63" s="12">
        <v>14</v>
      </c>
      <c r="D63" s="8">
        <v>1.84</v>
      </c>
      <c r="E63" s="12">
        <v>12</v>
      </c>
      <c r="F63" s="8">
        <v>3.93</v>
      </c>
      <c r="G63" s="12">
        <v>2</v>
      </c>
      <c r="H63" s="8">
        <v>0.44</v>
      </c>
      <c r="I63" s="12">
        <v>0</v>
      </c>
    </row>
    <row r="64" spans="2:9" ht="15" customHeight="1" x14ac:dyDescent="0.15">
      <c r="B64" t="s">
        <v>170</v>
      </c>
      <c r="C64" s="12">
        <v>14</v>
      </c>
      <c r="D64" s="8">
        <v>1.84</v>
      </c>
      <c r="E64" s="12">
        <v>12</v>
      </c>
      <c r="F64" s="8">
        <v>3.93</v>
      </c>
      <c r="G64" s="12">
        <v>2</v>
      </c>
      <c r="H64" s="8">
        <v>0.44</v>
      </c>
      <c r="I64" s="12">
        <v>0</v>
      </c>
    </row>
    <row r="65" spans="2:9" ht="15" customHeight="1" x14ac:dyDescent="0.15">
      <c r="B65" t="s">
        <v>140</v>
      </c>
      <c r="C65" s="12">
        <v>13</v>
      </c>
      <c r="D65" s="8">
        <v>1.71</v>
      </c>
      <c r="E65" s="12">
        <v>3</v>
      </c>
      <c r="F65" s="8">
        <v>0.98</v>
      </c>
      <c r="G65" s="12">
        <v>10</v>
      </c>
      <c r="H65" s="8">
        <v>2.2200000000000002</v>
      </c>
      <c r="I65" s="12">
        <v>0</v>
      </c>
    </row>
    <row r="66" spans="2:9" ht="15" customHeight="1" x14ac:dyDescent="0.15">
      <c r="B66" t="s">
        <v>151</v>
      </c>
      <c r="C66" s="12">
        <v>12</v>
      </c>
      <c r="D66" s="8">
        <v>1.57</v>
      </c>
      <c r="E66" s="12">
        <v>12</v>
      </c>
      <c r="F66" s="8">
        <v>3.93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155</v>
      </c>
      <c r="C67" s="12">
        <v>12</v>
      </c>
      <c r="D67" s="8">
        <v>1.57</v>
      </c>
      <c r="E67" s="12">
        <v>12</v>
      </c>
      <c r="F67" s="8">
        <v>3.93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139</v>
      </c>
      <c r="C68" s="12">
        <v>11</v>
      </c>
      <c r="D68" s="8">
        <v>1.44</v>
      </c>
      <c r="E68" s="12">
        <v>0</v>
      </c>
      <c r="F68" s="8">
        <v>0</v>
      </c>
      <c r="G68" s="12">
        <v>11</v>
      </c>
      <c r="H68" s="8">
        <v>2.44</v>
      </c>
      <c r="I68" s="12">
        <v>0</v>
      </c>
    </row>
    <row r="69" spans="2:9" ht="15" customHeight="1" x14ac:dyDescent="0.15">
      <c r="B69" t="s">
        <v>200</v>
      </c>
      <c r="C69" s="12">
        <v>11</v>
      </c>
      <c r="D69" s="8">
        <v>1.44</v>
      </c>
      <c r="E69" s="12">
        <v>0</v>
      </c>
      <c r="F69" s="8">
        <v>0</v>
      </c>
      <c r="G69" s="12">
        <v>11</v>
      </c>
      <c r="H69" s="8">
        <v>2.44</v>
      </c>
      <c r="I69" s="12">
        <v>0</v>
      </c>
    </row>
    <row r="70" spans="2:9" ht="15" customHeight="1" x14ac:dyDescent="0.15">
      <c r="B70" t="s">
        <v>154</v>
      </c>
      <c r="C70" s="12">
        <v>11</v>
      </c>
      <c r="D70" s="8">
        <v>1.44</v>
      </c>
      <c r="E70" s="12">
        <v>10</v>
      </c>
      <c r="F70" s="8">
        <v>3.28</v>
      </c>
      <c r="G70" s="12">
        <v>1</v>
      </c>
      <c r="H70" s="8">
        <v>0.22</v>
      </c>
      <c r="I70" s="12">
        <v>0</v>
      </c>
    </row>
    <row r="71" spans="2:9" ht="15" customHeight="1" x14ac:dyDescent="0.15">
      <c r="B71" t="s">
        <v>141</v>
      </c>
      <c r="C71" s="12">
        <v>10</v>
      </c>
      <c r="D71" s="8">
        <v>1.31</v>
      </c>
      <c r="E71" s="12">
        <v>4</v>
      </c>
      <c r="F71" s="8">
        <v>1.31</v>
      </c>
      <c r="G71" s="12">
        <v>6</v>
      </c>
      <c r="H71" s="8">
        <v>1.33</v>
      </c>
      <c r="I71" s="12">
        <v>0</v>
      </c>
    </row>
    <row r="72" spans="2:9" ht="15" customHeight="1" x14ac:dyDescent="0.15">
      <c r="B72" t="s">
        <v>152</v>
      </c>
      <c r="C72" s="12">
        <v>10</v>
      </c>
      <c r="D72" s="8">
        <v>1.31</v>
      </c>
      <c r="E72" s="12">
        <v>10</v>
      </c>
      <c r="F72" s="8">
        <v>3.28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426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5</v>
      </c>
      <c r="D5" s="8">
        <v>2.33</v>
      </c>
      <c r="E5" s="12">
        <v>0</v>
      </c>
      <c r="F5" s="8">
        <v>0</v>
      </c>
      <c r="G5" s="12">
        <v>5</v>
      </c>
      <c r="H5" s="8">
        <v>5.81</v>
      </c>
      <c r="I5" s="12">
        <v>0</v>
      </c>
    </row>
    <row r="6" spans="2:9" ht="15" customHeight="1" x14ac:dyDescent="0.15">
      <c r="B6" t="s">
        <v>63</v>
      </c>
      <c r="C6" s="12">
        <v>27</v>
      </c>
      <c r="D6" s="8">
        <v>12.56</v>
      </c>
      <c r="E6" s="12">
        <v>9</v>
      </c>
      <c r="F6" s="8">
        <v>6.98</v>
      </c>
      <c r="G6" s="12">
        <v>18</v>
      </c>
      <c r="H6" s="8">
        <v>20.93</v>
      </c>
      <c r="I6" s="12">
        <v>0</v>
      </c>
    </row>
    <row r="7" spans="2:9" ht="15" customHeight="1" x14ac:dyDescent="0.15">
      <c r="B7" t="s">
        <v>64</v>
      </c>
      <c r="C7" s="12">
        <v>18</v>
      </c>
      <c r="D7" s="8">
        <v>8.3699999999999992</v>
      </c>
      <c r="E7" s="12">
        <v>3</v>
      </c>
      <c r="F7" s="8">
        <v>2.33</v>
      </c>
      <c r="G7" s="12">
        <v>15</v>
      </c>
      <c r="H7" s="8">
        <v>17.440000000000001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</v>
      </c>
      <c r="D9" s="8">
        <v>1.86</v>
      </c>
      <c r="E9" s="12">
        <v>2</v>
      </c>
      <c r="F9" s="8">
        <v>1.55</v>
      </c>
      <c r="G9" s="12">
        <v>2</v>
      </c>
      <c r="H9" s="8">
        <v>2.33</v>
      </c>
      <c r="I9" s="12">
        <v>0</v>
      </c>
    </row>
    <row r="10" spans="2:9" ht="15" customHeight="1" x14ac:dyDescent="0.15">
      <c r="B10" t="s">
        <v>67</v>
      </c>
      <c r="C10" s="12">
        <v>1</v>
      </c>
      <c r="D10" s="8">
        <v>0.47</v>
      </c>
      <c r="E10" s="12">
        <v>0</v>
      </c>
      <c r="F10" s="8">
        <v>0</v>
      </c>
      <c r="G10" s="12">
        <v>1</v>
      </c>
      <c r="H10" s="8">
        <v>1.1599999999999999</v>
      </c>
      <c r="I10" s="12">
        <v>0</v>
      </c>
    </row>
    <row r="11" spans="2:9" ht="15" customHeight="1" x14ac:dyDescent="0.15">
      <c r="B11" t="s">
        <v>68</v>
      </c>
      <c r="C11" s="12">
        <v>52</v>
      </c>
      <c r="D11" s="8">
        <v>24.19</v>
      </c>
      <c r="E11" s="12">
        <v>32</v>
      </c>
      <c r="F11" s="8">
        <v>24.81</v>
      </c>
      <c r="G11" s="12">
        <v>20</v>
      </c>
      <c r="H11" s="8">
        <v>23.26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0.47</v>
      </c>
      <c r="E12" s="12">
        <v>0</v>
      </c>
      <c r="F12" s="8">
        <v>0</v>
      </c>
      <c r="G12" s="12">
        <v>1</v>
      </c>
      <c r="H12" s="8">
        <v>1.1599999999999999</v>
      </c>
      <c r="I12" s="12">
        <v>0</v>
      </c>
    </row>
    <row r="13" spans="2:9" ht="15" customHeight="1" x14ac:dyDescent="0.15">
      <c r="B13" t="s">
        <v>70</v>
      </c>
      <c r="C13" s="12">
        <v>24</v>
      </c>
      <c r="D13" s="8">
        <v>11.16</v>
      </c>
      <c r="E13" s="12">
        <v>18</v>
      </c>
      <c r="F13" s="8">
        <v>13.95</v>
      </c>
      <c r="G13" s="12">
        <v>6</v>
      </c>
      <c r="H13" s="8">
        <v>6.98</v>
      </c>
      <c r="I13" s="12">
        <v>0</v>
      </c>
    </row>
    <row r="14" spans="2:9" ht="15" customHeight="1" x14ac:dyDescent="0.15">
      <c r="B14" t="s">
        <v>71</v>
      </c>
      <c r="C14" s="12">
        <v>2</v>
      </c>
      <c r="D14" s="8">
        <v>0.93</v>
      </c>
      <c r="E14" s="12">
        <v>1</v>
      </c>
      <c r="F14" s="8">
        <v>0.78</v>
      </c>
      <c r="G14" s="12">
        <v>1</v>
      </c>
      <c r="H14" s="8">
        <v>1.1599999999999999</v>
      </c>
      <c r="I14" s="12">
        <v>0</v>
      </c>
    </row>
    <row r="15" spans="2:9" ht="15" customHeight="1" x14ac:dyDescent="0.15">
      <c r="B15" t="s">
        <v>72</v>
      </c>
      <c r="C15" s="12">
        <v>44</v>
      </c>
      <c r="D15" s="8">
        <v>20.47</v>
      </c>
      <c r="E15" s="12">
        <v>38</v>
      </c>
      <c r="F15" s="8">
        <v>29.46</v>
      </c>
      <c r="G15" s="12">
        <v>6</v>
      </c>
      <c r="H15" s="8">
        <v>6.98</v>
      </c>
      <c r="I15" s="12">
        <v>0</v>
      </c>
    </row>
    <row r="16" spans="2:9" ht="15" customHeight="1" x14ac:dyDescent="0.15">
      <c r="B16" t="s">
        <v>73</v>
      </c>
      <c r="C16" s="12">
        <v>26</v>
      </c>
      <c r="D16" s="8">
        <v>12.09</v>
      </c>
      <c r="E16" s="12">
        <v>20</v>
      </c>
      <c r="F16" s="8">
        <v>15.5</v>
      </c>
      <c r="G16" s="12">
        <v>6</v>
      </c>
      <c r="H16" s="8">
        <v>6.98</v>
      </c>
      <c r="I16" s="12">
        <v>0</v>
      </c>
    </row>
    <row r="17" spans="2:9" ht="15" customHeight="1" x14ac:dyDescent="0.15">
      <c r="B17" t="s">
        <v>74</v>
      </c>
      <c r="C17" s="12">
        <v>1</v>
      </c>
      <c r="D17" s="8">
        <v>0.47</v>
      </c>
      <c r="E17" s="12">
        <v>1</v>
      </c>
      <c r="F17" s="8">
        <v>0.78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75</v>
      </c>
      <c r="C18" s="12">
        <v>7</v>
      </c>
      <c r="D18" s="8">
        <v>3.26</v>
      </c>
      <c r="E18" s="12">
        <v>4</v>
      </c>
      <c r="F18" s="8">
        <v>3.1</v>
      </c>
      <c r="G18" s="12">
        <v>3</v>
      </c>
      <c r="H18" s="8">
        <v>3.49</v>
      </c>
      <c r="I18" s="12">
        <v>0</v>
      </c>
    </row>
    <row r="19" spans="2:9" ht="15" customHeight="1" x14ac:dyDescent="0.15">
      <c r="B19" t="s">
        <v>76</v>
      </c>
      <c r="C19" s="12">
        <v>3</v>
      </c>
      <c r="D19" s="8">
        <v>1.4</v>
      </c>
      <c r="E19" s="12">
        <v>1</v>
      </c>
      <c r="F19" s="8">
        <v>0.78</v>
      </c>
      <c r="G19" s="12">
        <v>2</v>
      </c>
      <c r="H19" s="8">
        <v>2.33</v>
      </c>
      <c r="I19" s="12">
        <v>0</v>
      </c>
    </row>
    <row r="20" spans="2:9" ht="15" customHeight="1" x14ac:dyDescent="0.15">
      <c r="B20" s="9" t="s">
        <v>216</v>
      </c>
      <c r="C20" s="12">
        <f>SUM(LTBL_14383[総数／事業所数])</f>
        <v>215</v>
      </c>
      <c r="E20" s="12">
        <f>SUBTOTAL(109,LTBL_14383[個人／事業所数])</f>
        <v>129</v>
      </c>
      <c r="G20" s="12">
        <f>SUBTOTAL(109,LTBL_14383[法人／事業所数])</f>
        <v>86</v>
      </c>
      <c r="I20" s="12">
        <f>SUBTOTAL(109,LTBL_14383[法人以外の団体／事業所数])</f>
        <v>0</v>
      </c>
    </row>
    <row r="21" spans="2:9" ht="15" customHeight="1" x14ac:dyDescent="0.15">
      <c r="E21" s="11">
        <f>LTBL_14383[[#Totals],[個人／事業所数]]/LTBL_14383[[#Totals],[総数／事業所数]]</f>
        <v>0.6</v>
      </c>
      <c r="G21" s="11">
        <f>LTBL_14383[[#Totals],[法人／事業所数]]/LTBL_14383[[#Totals],[総数／事業所数]]</f>
        <v>0.4</v>
      </c>
      <c r="I21" s="11">
        <f>LTBL_14383[[#Totals],[法人以外の団体／事業所数]]/LTBL_14383[[#Totals],[総数／事業所数]]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427</v>
      </c>
      <c r="E23" s="10" t="s">
        <v>80</v>
      </c>
      <c r="F23" s="10" t="s">
        <v>223</v>
      </c>
      <c r="G23" s="10" t="s">
        <v>82</v>
      </c>
      <c r="H23" s="10" t="s">
        <v>428</v>
      </c>
      <c r="I23" s="10" t="s">
        <v>84</v>
      </c>
    </row>
    <row r="24" spans="2:9" ht="15" customHeight="1" x14ac:dyDescent="0.15">
      <c r="B24" t="s">
        <v>218</v>
      </c>
      <c r="C24">
        <v>1</v>
      </c>
      <c r="D24" t="s">
        <v>217</v>
      </c>
      <c r="E24">
        <v>0</v>
      </c>
      <c r="F24" t="s">
        <v>219</v>
      </c>
      <c r="G24">
        <v>1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28</v>
      </c>
      <c r="D29" s="8">
        <v>13.02</v>
      </c>
      <c r="E29" s="12">
        <v>26</v>
      </c>
      <c r="F29" s="8">
        <v>20.16</v>
      </c>
      <c r="G29" s="12">
        <v>2</v>
      </c>
      <c r="H29" s="8">
        <v>2.33</v>
      </c>
      <c r="I29" s="12">
        <v>0</v>
      </c>
    </row>
    <row r="30" spans="2:9" ht="15" customHeight="1" x14ac:dyDescent="0.15">
      <c r="B30" t="s">
        <v>94</v>
      </c>
      <c r="C30" s="12">
        <v>20</v>
      </c>
      <c r="D30" s="8">
        <v>9.3000000000000007</v>
      </c>
      <c r="E30" s="12">
        <v>16</v>
      </c>
      <c r="F30" s="8">
        <v>12.4</v>
      </c>
      <c r="G30" s="12">
        <v>4</v>
      </c>
      <c r="H30" s="8">
        <v>4.6500000000000004</v>
      </c>
      <c r="I30" s="12">
        <v>0</v>
      </c>
    </row>
    <row r="31" spans="2:9" ht="15" customHeight="1" x14ac:dyDescent="0.15">
      <c r="B31" t="s">
        <v>100</v>
      </c>
      <c r="C31" s="12">
        <v>20</v>
      </c>
      <c r="D31" s="8">
        <v>9.3000000000000007</v>
      </c>
      <c r="E31" s="12">
        <v>20</v>
      </c>
      <c r="F31" s="8">
        <v>15.5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92</v>
      </c>
      <c r="C32" s="12">
        <v>18</v>
      </c>
      <c r="D32" s="8">
        <v>8.3699999999999992</v>
      </c>
      <c r="E32" s="12">
        <v>9</v>
      </c>
      <c r="F32" s="8">
        <v>6.98</v>
      </c>
      <c r="G32" s="12">
        <v>9</v>
      </c>
      <c r="H32" s="8">
        <v>10.47</v>
      </c>
      <c r="I32" s="12">
        <v>0</v>
      </c>
    </row>
    <row r="33" spans="2:9" ht="15" customHeight="1" x14ac:dyDescent="0.15">
      <c r="B33" t="s">
        <v>96</v>
      </c>
      <c r="C33" s="12">
        <v>18</v>
      </c>
      <c r="D33" s="8">
        <v>8.3699999999999992</v>
      </c>
      <c r="E33" s="12">
        <v>16</v>
      </c>
      <c r="F33" s="8">
        <v>12.4</v>
      </c>
      <c r="G33" s="12">
        <v>2</v>
      </c>
      <c r="H33" s="8">
        <v>2.33</v>
      </c>
      <c r="I33" s="12">
        <v>0</v>
      </c>
    </row>
    <row r="34" spans="2:9" ht="15" customHeight="1" x14ac:dyDescent="0.15">
      <c r="B34" t="s">
        <v>111</v>
      </c>
      <c r="C34" s="12">
        <v>15</v>
      </c>
      <c r="D34" s="8">
        <v>6.98</v>
      </c>
      <c r="E34" s="12">
        <v>12</v>
      </c>
      <c r="F34" s="8">
        <v>9.3000000000000007</v>
      </c>
      <c r="G34" s="12">
        <v>3</v>
      </c>
      <c r="H34" s="8">
        <v>3.49</v>
      </c>
      <c r="I34" s="12">
        <v>0</v>
      </c>
    </row>
    <row r="35" spans="2:9" ht="15" customHeight="1" x14ac:dyDescent="0.15">
      <c r="B35" t="s">
        <v>85</v>
      </c>
      <c r="C35" s="12">
        <v>11</v>
      </c>
      <c r="D35" s="8">
        <v>5.12</v>
      </c>
      <c r="E35" s="12">
        <v>2</v>
      </c>
      <c r="F35" s="8">
        <v>1.55</v>
      </c>
      <c r="G35" s="12">
        <v>9</v>
      </c>
      <c r="H35" s="8">
        <v>10.47</v>
      </c>
      <c r="I35" s="12">
        <v>0</v>
      </c>
    </row>
    <row r="36" spans="2:9" ht="15" customHeight="1" x14ac:dyDescent="0.15">
      <c r="B36" t="s">
        <v>86</v>
      </c>
      <c r="C36" s="12">
        <v>11</v>
      </c>
      <c r="D36" s="8">
        <v>5.12</v>
      </c>
      <c r="E36" s="12">
        <v>6</v>
      </c>
      <c r="F36" s="8">
        <v>4.6500000000000004</v>
      </c>
      <c r="G36" s="12">
        <v>5</v>
      </c>
      <c r="H36" s="8">
        <v>5.81</v>
      </c>
      <c r="I36" s="12">
        <v>0</v>
      </c>
    </row>
    <row r="37" spans="2:9" ht="15" customHeight="1" x14ac:dyDescent="0.15">
      <c r="B37" t="s">
        <v>131</v>
      </c>
      <c r="C37" s="12">
        <v>11</v>
      </c>
      <c r="D37" s="8">
        <v>5.12</v>
      </c>
      <c r="E37" s="12">
        <v>0</v>
      </c>
      <c r="F37" s="8">
        <v>0</v>
      </c>
      <c r="G37" s="12">
        <v>11</v>
      </c>
      <c r="H37" s="8">
        <v>12.79</v>
      </c>
      <c r="I37" s="12">
        <v>0</v>
      </c>
    </row>
    <row r="38" spans="2:9" ht="15" customHeight="1" x14ac:dyDescent="0.15">
      <c r="B38" t="s">
        <v>130</v>
      </c>
      <c r="C38" s="12">
        <v>5</v>
      </c>
      <c r="D38" s="8">
        <v>2.33</v>
      </c>
      <c r="E38" s="12">
        <v>0</v>
      </c>
      <c r="F38" s="8">
        <v>0</v>
      </c>
      <c r="G38" s="12">
        <v>5</v>
      </c>
      <c r="H38" s="8">
        <v>5.81</v>
      </c>
      <c r="I38" s="12">
        <v>0</v>
      </c>
    </row>
    <row r="39" spans="2:9" ht="15" customHeight="1" x14ac:dyDescent="0.15">
      <c r="B39" t="s">
        <v>87</v>
      </c>
      <c r="C39" s="12">
        <v>5</v>
      </c>
      <c r="D39" s="8">
        <v>2.33</v>
      </c>
      <c r="E39" s="12">
        <v>1</v>
      </c>
      <c r="F39" s="8">
        <v>0.78</v>
      </c>
      <c r="G39" s="12">
        <v>4</v>
      </c>
      <c r="H39" s="8">
        <v>4.6500000000000004</v>
      </c>
      <c r="I39" s="12">
        <v>0</v>
      </c>
    </row>
    <row r="40" spans="2:9" ht="15" customHeight="1" x14ac:dyDescent="0.15">
      <c r="B40" t="s">
        <v>121</v>
      </c>
      <c r="C40" s="12">
        <v>4</v>
      </c>
      <c r="D40" s="8">
        <v>1.86</v>
      </c>
      <c r="E40" s="12">
        <v>1</v>
      </c>
      <c r="F40" s="8">
        <v>0.78</v>
      </c>
      <c r="G40" s="12">
        <v>3</v>
      </c>
      <c r="H40" s="8">
        <v>3.49</v>
      </c>
      <c r="I40" s="12">
        <v>0</v>
      </c>
    </row>
    <row r="41" spans="2:9" ht="15" customHeight="1" x14ac:dyDescent="0.15">
      <c r="B41" t="s">
        <v>93</v>
      </c>
      <c r="C41" s="12">
        <v>4</v>
      </c>
      <c r="D41" s="8">
        <v>1.86</v>
      </c>
      <c r="E41" s="12">
        <v>1</v>
      </c>
      <c r="F41" s="8">
        <v>0.78</v>
      </c>
      <c r="G41" s="12">
        <v>3</v>
      </c>
      <c r="H41" s="8">
        <v>3.49</v>
      </c>
      <c r="I41" s="12">
        <v>0</v>
      </c>
    </row>
    <row r="42" spans="2:9" ht="15" customHeight="1" x14ac:dyDescent="0.15">
      <c r="B42" t="s">
        <v>95</v>
      </c>
      <c r="C42" s="12">
        <v>4</v>
      </c>
      <c r="D42" s="8">
        <v>1.86</v>
      </c>
      <c r="E42" s="12">
        <v>1</v>
      </c>
      <c r="F42" s="8">
        <v>0.78</v>
      </c>
      <c r="G42" s="12">
        <v>3</v>
      </c>
      <c r="H42" s="8">
        <v>3.49</v>
      </c>
      <c r="I42" s="12">
        <v>0</v>
      </c>
    </row>
    <row r="43" spans="2:9" ht="15" customHeight="1" x14ac:dyDescent="0.15">
      <c r="B43" t="s">
        <v>116</v>
      </c>
      <c r="C43" s="12">
        <v>4</v>
      </c>
      <c r="D43" s="8">
        <v>1.86</v>
      </c>
      <c r="E43" s="12">
        <v>0</v>
      </c>
      <c r="F43" s="8">
        <v>0</v>
      </c>
      <c r="G43" s="12">
        <v>4</v>
      </c>
      <c r="H43" s="8">
        <v>4.6500000000000004</v>
      </c>
      <c r="I43" s="12">
        <v>0</v>
      </c>
    </row>
    <row r="44" spans="2:9" ht="15" customHeight="1" x14ac:dyDescent="0.15">
      <c r="B44" t="s">
        <v>103</v>
      </c>
      <c r="C44" s="12">
        <v>4</v>
      </c>
      <c r="D44" s="8">
        <v>1.86</v>
      </c>
      <c r="E44" s="12">
        <v>4</v>
      </c>
      <c r="F44" s="8">
        <v>3.1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105</v>
      </c>
      <c r="C45" s="12">
        <v>3</v>
      </c>
      <c r="D45" s="8">
        <v>1.4</v>
      </c>
      <c r="E45" s="12">
        <v>2</v>
      </c>
      <c r="F45" s="8">
        <v>1.55</v>
      </c>
      <c r="G45" s="12">
        <v>1</v>
      </c>
      <c r="H45" s="8">
        <v>1.1599999999999999</v>
      </c>
      <c r="I45" s="12">
        <v>0</v>
      </c>
    </row>
    <row r="46" spans="2:9" ht="15" customHeight="1" x14ac:dyDescent="0.15">
      <c r="B46" t="s">
        <v>108</v>
      </c>
      <c r="C46" s="12">
        <v>3</v>
      </c>
      <c r="D46" s="8">
        <v>1.4</v>
      </c>
      <c r="E46" s="12">
        <v>0</v>
      </c>
      <c r="F46" s="8">
        <v>0</v>
      </c>
      <c r="G46" s="12">
        <v>3</v>
      </c>
      <c r="H46" s="8">
        <v>3.49</v>
      </c>
      <c r="I46" s="12">
        <v>0</v>
      </c>
    </row>
    <row r="47" spans="2:9" ht="15" customHeight="1" x14ac:dyDescent="0.15">
      <c r="B47" t="s">
        <v>132</v>
      </c>
      <c r="C47" s="12">
        <v>2</v>
      </c>
      <c r="D47" s="8">
        <v>0.93</v>
      </c>
      <c r="E47" s="12">
        <v>1</v>
      </c>
      <c r="F47" s="8">
        <v>0.78</v>
      </c>
      <c r="G47" s="12">
        <v>1</v>
      </c>
      <c r="H47" s="8">
        <v>1.1599999999999999</v>
      </c>
      <c r="I47" s="12">
        <v>0</v>
      </c>
    </row>
    <row r="48" spans="2:9" ht="15" customHeight="1" x14ac:dyDescent="0.15">
      <c r="B48" t="s">
        <v>109</v>
      </c>
      <c r="C48" s="12">
        <v>2</v>
      </c>
      <c r="D48" s="8">
        <v>0.93</v>
      </c>
      <c r="E48" s="12">
        <v>1</v>
      </c>
      <c r="F48" s="8">
        <v>0.78</v>
      </c>
      <c r="G48" s="12">
        <v>1</v>
      </c>
      <c r="H48" s="8">
        <v>1.1599999999999999</v>
      </c>
      <c r="I48" s="12">
        <v>0</v>
      </c>
    </row>
    <row r="49" spans="2:9" ht="15" customHeight="1" x14ac:dyDescent="0.15">
      <c r="B49" t="s">
        <v>106</v>
      </c>
      <c r="C49" s="12">
        <v>2</v>
      </c>
      <c r="D49" s="8">
        <v>0.93</v>
      </c>
      <c r="E49" s="12">
        <v>1</v>
      </c>
      <c r="F49" s="8">
        <v>0.78</v>
      </c>
      <c r="G49" s="12">
        <v>1</v>
      </c>
      <c r="H49" s="8">
        <v>1.1599999999999999</v>
      </c>
      <c r="I49" s="12">
        <v>0</v>
      </c>
    </row>
    <row r="50" spans="2:9" ht="15" customHeight="1" x14ac:dyDescent="0.15">
      <c r="B50" t="s">
        <v>91</v>
      </c>
      <c r="C50" s="12">
        <v>2</v>
      </c>
      <c r="D50" s="8">
        <v>0.93</v>
      </c>
      <c r="E50" s="12">
        <v>2</v>
      </c>
      <c r="F50" s="8">
        <v>1.55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118</v>
      </c>
      <c r="C51" s="12">
        <v>2</v>
      </c>
      <c r="D51" s="8">
        <v>0.93</v>
      </c>
      <c r="E51" s="12">
        <v>0</v>
      </c>
      <c r="F51" s="8">
        <v>0</v>
      </c>
      <c r="G51" s="12">
        <v>2</v>
      </c>
      <c r="H51" s="8">
        <v>2.33</v>
      </c>
      <c r="I51" s="12">
        <v>0</v>
      </c>
    </row>
    <row r="52" spans="2:9" ht="15" customHeight="1" x14ac:dyDescent="0.15">
      <c r="B52" t="s">
        <v>129</v>
      </c>
      <c r="C52" s="12">
        <v>2</v>
      </c>
      <c r="D52" s="8">
        <v>0.93</v>
      </c>
      <c r="E52" s="12">
        <v>1</v>
      </c>
      <c r="F52" s="8">
        <v>0.78</v>
      </c>
      <c r="G52" s="12">
        <v>1</v>
      </c>
      <c r="H52" s="8">
        <v>1.1599999999999999</v>
      </c>
      <c r="I52" s="12">
        <v>0</v>
      </c>
    </row>
    <row r="53" spans="2:9" ht="15" customHeight="1" x14ac:dyDescent="0.15">
      <c r="B53" t="s">
        <v>101</v>
      </c>
      <c r="C53" s="12">
        <v>2</v>
      </c>
      <c r="D53" s="8">
        <v>0.93</v>
      </c>
      <c r="E53" s="12">
        <v>0</v>
      </c>
      <c r="F53" s="8">
        <v>0</v>
      </c>
      <c r="G53" s="12">
        <v>2</v>
      </c>
      <c r="H53" s="8">
        <v>2.33</v>
      </c>
      <c r="I53" s="12">
        <v>0</v>
      </c>
    </row>
    <row r="56" spans="2:9" ht="33" customHeight="1" x14ac:dyDescent="0.15">
      <c r="B56" t="s">
        <v>315</v>
      </c>
      <c r="C56" s="10" t="s">
        <v>78</v>
      </c>
      <c r="D56" s="10" t="s">
        <v>79</v>
      </c>
      <c r="E56" s="10" t="s">
        <v>80</v>
      </c>
      <c r="F56" s="10" t="s">
        <v>81</v>
      </c>
      <c r="G56" s="10" t="s">
        <v>82</v>
      </c>
      <c r="H56" s="10" t="s">
        <v>83</v>
      </c>
      <c r="I56" s="10" t="s">
        <v>84</v>
      </c>
    </row>
    <row r="57" spans="2:9" ht="15" customHeight="1" x14ac:dyDescent="0.15">
      <c r="B57" t="s">
        <v>187</v>
      </c>
      <c r="C57" s="12">
        <v>14</v>
      </c>
      <c r="D57" s="8">
        <v>6.51</v>
      </c>
      <c r="E57" s="12">
        <v>12</v>
      </c>
      <c r="F57" s="8">
        <v>9.3000000000000007</v>
      </c>
      <c r="G57" s="12">
        <v>2</v>
      </c>
      <c r="H57" s="8">
        <v>2.33</v>
      </c>
      <c r="I57" s="12">
        <v>0</v>
      </c>
    </row>
    <row r="58" spans="2:9" ht="15" customHeight="1" x14ac:dyDescent="0.15">
      <c r="B58" t="s">
        <v>208</v>
      </c>
      <c r="C58" s="12">
        <v>11</v>
      </c>
      <c r="D58" s="8">
        <v>5.12</v>
      </c>
      <c r="E58" s="12">
        <v>0</v>
      </c>
      <c r="F58" s="8">
        <v>0</v>
      </c>
      <c r="G58" s="12">
        <v>11</v>
      </c>
      <c r="H58" s="8">
        <v>12.79</v>
      </c>
      <c r="I58" s="12">
        <v>0</v>
      </c>
    </row>
    <row r="59" spans="2:9" ht="15" customHeight="1" x14ac:dyDescent="0.15">
      <c r="B59" t="s">
        <v>150</v>
      </c>
      <c r="C59" s="12">
        <v>10</v>
      </c>
      <c r="D59" s="8">
        <v>4.6500000000000004</v>
      </c>
      <c r="E59" s="12">
        <v>9</v>
      </c>
      <c r="F59" s="8">
        <v>6.98</v>
      </c>
      <c r="G59" s="12">
        <v>1</v>
      </c>
      <c r="H59" s="8">
        <v>1.1599999999999999</v>
      </c>
      <c r="I59" s="12">
        <v>0</v>
      </c>
    </row>
    <row r="60" spans="2:9" ht="15" customHeight="1" x14ac:dyDescent="0.15">
      <c r="B60" t="s">
        <v>155</v>
      </c>
      <c r="C60" s="12">
        <v>10</v>
      </c>
      <c r="D60" s="8">
        <v>4.6500000000000004</v>
      </c>
      <c r="E60" s="12">
        <v>10</v>
      </c>
      <c r="F60" s="8">
        <v>7.75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145</v>
      </c>
      <c r="C61" s="12">
        <v>8</v>
      </c>
      <c r="D61" s="8">
        <v>3.72</v>
      </c>
      <c r="E61" s="12">
        <v>8</v>
      </c>
      <c r="F61" s="8">
        <v>6.2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148</v>
      </c>
      <c r="C62" s="12">
        <v>8</v>
      </c>
      <c r="D62" s="8">
        <v>3.72</v>
      </c>
      <c r="E62" s="12">
        <v>8</v>
      </c>
      <c r="F62" s="8">
        <v>6.2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138</v>
      </c>
      <c r="C63" s="12">
        <v>7</v>
      </c>
      <c r="D63" s="8">
        <v>3.26</v>
      </c>
      <c r="E63" s="12">
        <v>1</v>
      </c>
      <c r="F63" s="8">
        <v>0.78</v>
      </c>
      <c r="G63" s="12">
        <v>6</v>
      </c>
      <c r="H63" s="8">
        <v>6.98</v>
      </c>
      <c r="I63" s="12">
        <v>0</v>
      </c>
    </row>
    <row r="64" spans="2:9" ht="15" customHeight="1" x14ac:dyDescent="0.15">
      <c r="B64" t="s">
        <v>173</v>
      </c>
      <c r="C64" s="12">
        <v>7</v>
      </c>
      <c r="D64" s="8">
        <v>3.26</v>
      </c>
      <c r="E64" s="12">
        <v>7</v>
      </c>
      <c r="F64" s="8">
        <v>5.43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154</v>
      </c>
      <c r="C65" s="12">
        <v>7</v>
      </c>
      <c r="D65" s="8">
        <v>3.26</v>
      </c>
      <c r="E65" s="12">
        <v>7</v>
      </c>
      <c r="F65" s="8">
        <v>5.43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206</v>
      </c>
      <c r="C66" s="12">
        <v>4</v>
      </c>
      <c r="D66" s="8">
        <v>1.86</v>
      </c>
      <c r="E66" s="12">
        <v>0</v>
      </c>
      <c r="F66" s="8">
        <v>0</v>
      </c>
      <c r="G66" s="12">
        <v>4</v>
      </c>
      <c r="H66" s="8">
        <v>4.6500000000000004</v>
      </c>
      <c r="I66" s="12">
        <v>0</v>
      </c>
    </row>
    <row r="67" spans="2:9" ht="15" customHeight="1" x14ac:dyDescent="0.15">
      <c r="B67" t="s">
        <v>141</v>
      </c>
      <c r="C67" s="12">
        <v>4</v>
      </c>
      <c r="D67" s="8">
        <v>1.86</v>
      </c>
      <c r="E67" s="12">
        <v>1</v>
      </c>
      <c r="F67" s="8">
        <v>0.78</v>
      </c>
      <c r="G67" s="12">
        <v>3</v>
      </c>
      <c r="H67" s="8">
        <v>3.49</v>
      </c>
      <c r="I67" s="12">
        <v>0</v>
      </c>
    </row>
    <row r="68" spans="2:9" ht="15" customHeight="1" x14ac:dyDescent="0.15">
      <c r="B68" t="s">
        <v>195</v>
      </c>
      <c r="C68" s="12">
        <v>4</v>
      </c>
      <c r="D68" s="8">
        <v>1.86</v>
      </c>
      <c r="E68" s="12">
        <v>2</v>
      </c>
      <c r="F68" s="8">
        <v>1.55</v>
      </c>
      <c r="G68" s="12">
        <v>2</v>
      </c>
      <c r="H68" s="8">
        <v>2.33</v>
      </c>
      <c r="I68" s="12">
        <v>0</v>
      </c>
    </row>
    <row r="69" spans="2:9" ht="15" customHeight="1" x14ac:dyDescent="0.15">
      <c r="B69" t="s">
        <v>203</v>
      </c>
      <c r="C69" s="12">
        <v>4</v>
      </c>
      <c r="D69" s="8">
        <v>1.86</v>
      </c>
      <c r="E69" s="12">
        <v>1</v>
      </c>
      <c r="F69" s="8">
        <v>0.78</v>
      </c>
      <c r="G69" s="12">
        <v>3</v>
      </c>
      <c r="H69" s="8">
        <v>3.49</v>
      </c>
      <c r="I69" s="12">
        <v>0</v>
      </c>
    </row>
    <row r="70" spans="2:9" ht="15" customHeight="1" x14ac:dyDescent="0.15">
      <c r="B70" t="s">
        <v>143</v>
      </c>
      <c r="C70" s="12">
        <v>4</v>
      </c>
      <c r="D70" s="8">
        <v>1.86</v>
      </c>
      <c r="E70" s="12">
        <v>3</v>
      </c>
      <c r="F70" s="8">
        <v>2.33</v>
      </c>
      <c r="G70" s="12">
        <v>1</v>
      </c>
      <c r="H70" s="8">
        <v>1.1599999999999999</v>
      </c>
      <c r="I70" s="12">
        <v>0</v>
      </c>
    </row>
    <row r="71" spans="2:9" ht="15" customHeight="1" x14ac:dyDescent="0.15">
      <c r="B71" t="s">
        <v>161</v>
      </c>
      <c r="C71" s="12">
        <v>4</v>
      </c>
      <c r="D71" s="8">
        <v>1.86</v>
      </c>
      <c r="E71" s="12">
        <v>3</v>
      </c>
      <c r="F71" s="8">
        <v>2.33</v>
      </c>
      <c r="G71" s="12">
        <v>1</v>
      </c>
      <c r="H71" s="8">
        <v>1.1599999999999999</v>
      </c>
      <c r="I71" s="12">
        <v>0</v>
      </c>
    </row>
    <row r="72" spans="2:9" ht="15" customHeight="1" x14ac:dyDescent="0.15">
      <c r="B72" t="s">
        <v>146</v>
      </c>
      <c r="C72" s="12">
        <v>4</v>
      </c>
      <c r="D72" s="8">
        <v>1.86</v>
      </c>
      <c r="E72" s="12">
        <v>1</v>
      </c>
      <c r="F72" s="8">
        <v>0.78</v>
      </c>
      <c r="G72" s="12">
        <v>3</v>
      </c>
      <c r="H72" s="8">
        <v>3.49</v>
      </c>
      <c r="I72" s="12">
        <v>0</v>
      </c>
    </row>
    <row r="73" spans="2:9" ht="15" customHeight="1" x14ac:dyDescent="0.15">
      <c r="B73" t="s">
        <v>183</v>
      </c>
      <c r="C73" s="12">
        <v>4</v>
      </c>
      <c r="D73" s="8">
        <v>1.86</v>
      </c>
      <c r="E73" s="12">
        <v>4</v>
      </c>
      <c r="F73" s="8">
        <v>3.1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209</v>
      </c>
      <c r="C74" s="12">
        <v>4</v>
      </c>
      <c r="D74" s="8">
        <v>1.86</v>
      </c>
      <c r="E74" s="12">
        <v>3</v>
      </c>
      <c r="F74" s="8">
        <v>2.33</v>
      </c>
      <c r="G74" s="12">
        <v>1</v>
      </c>
      <c r="H74" s="8">
        <v>1.1599999999999999</v>
      </c>
      <c r="I74" s="12">
        <v>0</v>
      </c>
    </row>
    <row r="75" spans="2:9" ht="15" customHeight="1" x14ac:dyDescent="0.15">
      <c r="B75" t="s">
        <v>174</v>
      </c>
      <c r="C75" s="12">
        <v>3</v>
      </c>
      <c r="D75" s="8">
        <v>1.4</v>
      </c>
      <c r="E75" s="12">
        <v>0</v>
      </c>
      <c r="F75" s="8">
        <v>0</v>
      </c>
      <c r="G75" s="12">
        <v>3</v>
      </c>
      <c r="H75" s="8">
        <v>3.49</v>
      </c>
      <c r="I75" s="12">
        <v>0</v>
      </c>
    </row>
    <row r="76" spans="2:9" ht="15" customHeight="1" x14ac:dyDescent="0.15">
      <c r="B76" t="s">
        <v>207</v>
      </c>
      <c r="C76" s="12">
        <v>3</v>
      </c>
      <c r="D76" s="8">
        <v>1.4</v>
      </c>
      <c r="E76" s="12">
        <v>1</v>
      </c>
      <c r="F76" s="8">
        <v>0.78</v>
      </c>
      <c r="G76" s="12">
        <v>2</v>
      </c>
      <c r="H76" s="8">
        <v>2.33</v>
      </c>
      <c r="I76" s="12">
        <v>0</v>
      </c>
    </row>
    <row r="77" spans="2:9" ht="15" customHeight="1" x14ac:dyDescent="0.15">
      <c r="B77" t="s">
        <v>149</v>
      </c>
      <c r="C77" s="12">
        <v>3</v>
      </c>
      <c r="D77" s="8">
        <v>1.4</v>
      </c>
      <c r="E77" s="12">
        <v>1</v>
      </c>
      <c r="F77" s="8">
        <v>0.78</v>
      </c>
      <c r="G77" s="12">
        <v>2</v>
      </c>
      <c r="H77" s="8">
        <v>2.33</v>
      </c>
      <c r="I77" s="12">
        <v>0</v>
      </c>
    </row>
    <row r="78" spans="2:9" ht="15" customHeight="1" x14ac:dyDescent="0.15">
      <c r="B78" t="s">
        <v>152</v>
      </c>
      <c r="C78" s="12">
        <v>3</v>
      </c>
      <c r="D78" s="8">
        <v>1.4</v>
      </c>
      <c r="E78" s="12">
        <v>3</v>
      </c>
      <c r="F78" s="8">
        <v>2.33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153</v>
      </c>
      <c r="C79" s="12">
        <v>3</v>
      </c>
      <c r="D79" s="8">
        <v>1.4</v>
      </c>
      <c r="E79" s="12">
        <v>3</v>
      </c>
      <c r="F79" s="8">
        <v>2.33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188</v>
      </c>
      <c r="C80" s="12">
        <v>3</v>
      </c>
      <c r="D80" s="8">
        <v>1.4</v>
      </c>
      <c r="E80" s="12">
        <v>0</v>
      </c>
      <c r="F80" s="8">
        <v>0</v>
      </c>
      <c r="G80" s="12">
        <v>3</v>
      </c>
      <c r="H80" s="8">
        <v>3.49</v>
      </c>
      <c r="I80" s="12">
        <v>0</v>
      </c>
    </row>
    <row r="82" spans="2:2" ht="15" customHeight="1" x14ac:dyDescent="0.15">
      <c r="B82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429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115</v>
      </c>
      <c r="D6" s="8">
        <v>13.99</v>
      </c>
      <c r="E6" s="12">
        <v>37</v>
      </c>
      <c r="F6" s="8">
        <v>7.33</v>
      </c>
      <c r="G6" s="12">
        <v>78</v>
      </c>
      <c r="H6" s="8">
        <v>24.61</v>
      </c>
      <c r="I6" s="12">
        <v>0</v>
      </c>
    </row>
    <row r="7" spans="2:9" ht="15" customHeight="1" x14ac:dyDescent="0.15">
      <c r="B7" t="s">
        <v>64</v>
      </c>
      <c r="C7" s="12">
        <v>24</v>
      </c>
      <c r="D7" s="8">
        <v>2.92</v>
      </c>
      <c r="E7" s="12">
        <v>12</v>
      </c>
      <c r="F7" s="8">
        <v>2.38</v>
      </c>
      <c r="G7" s="12">
        <v>12</v>
      </c>
      <c r="H7" s="8">
        <v>3.79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4</v>
      </c>
      <c r="D9" s="8">
        <v>0.49</v>
      </c>
      <c r="E9" s="12">
        <v>0</v>
      </c>
      <c r="F9" s="8">
        <v>0</v>
      </c>
      <c r="G9" s="12">
        <v>4</v>
      </c>
      <c r="H9" s="8">
        <v>1.26</v>
      </c>
      <c r="I9" s="12">
        <v>0</v>
      </c>
    </row>
    <row r="10" spans="2:9" ht="15" customHeight="1" x14ac:dyDescent="0.15">
      <c r="B10" t="s">
        <v>67</v>
      </c>
      <c r="C10" s="12">
        <v>6</v>
      </c>
      <c r="D10" s="8">
        <v>0.73</v>
      </c>
      <c r="E10" s="12">
        <v>1</v>
      </c>
      <c r="F10" s="8">
        <v>0.2</v>
      </c>
      <c r="G10" s="12">
        <v>5</v>
      </c>
      <c r="H10" s="8">
        <v>1.58</v>
      </c>
      <c r="I10" s="12">
        <v>0</v>
      </c>
    </row>
    <row r="11" spans="2:9" ht="15" customHeight="1" x14ac:dyDescent="0.15">
      <c r="B11" t="s">
        <v>68</v>
      </c>
      <c r="C11" s="12">
        <v>198</v>
      </c>
      <c r="D11" s="8">
        <v>24.09</v>
      </c>
      <c r="E11" s="12">
        <v>111</v>
      </c>
      <c r="F11" s="8">
        <v>21.98</v>
      </c>
      <c r="G11" s="12">
        <v>87</v>
      </c>
      <c r="H11" s="8">
        <v>27.44</v>
      </c>
      <c r="I11" s="12">
        <v>0</v>
      </c>
    </row>
    <row r="12" spans="2:9" ht="15" customHeight="1" x14ac:dyDescent="0.15">
      <c r="B12" t="s">
        <v>69</v>
      </c>
      <c r="C12" s="12">
        <v>3</v>
      </c>
      <c r="D12" s="8">
        <v>0.36</v>
      </c>
      <c r="E12" s="12">
        <v>0</v>
      </c>
      <c r="F12" s="8">
        <v>0</v>
      </c>
      <c r="G12" s="12">
        <v>3</v>
      </c>
      <c r="H12" s="8">
        <v>0.95</v>
      </c>
      <c r="I12" s="12">
        <v>0</v>
      </c>
    </row>
    <row r="13" spans="2:9" ht="15" customHeight="1" x14ac:dyDescent="0.15">
      <c r="B13" t="s">
        <v>70</v>
      </c>
      <c r="C13" s="12">
        <v>96</v>
      </c>
      <c r="D13" s="8">
        <v>11.68</v>
      </c>
      <c r="E13" s="12">
        <v>60</v>
      </c>
      <c r="F13" s="8">
        <v>11.88</v>
      </c>
      <c r="G13" s="12">
        <v>36</v>
      </c>
      <c r="H13" s="8">
        <v>11.36</v>
      </c>
      <c r="I13" s="12">
        <v>0</v>
      </c>
    </row>
    <row r="14" spans="2:9" ht="15" customHeight="1" x14ac:dyDescent="0.15">
      <c r="B14" t="s">
        <v>71</v>
      </c>
      <c r="C14" s="12">
        <v>27</v>
      </c>
      <c r="D14" s="8">
        <v>3.28</v>
      </c>
      <c r="E14" s="12">
        <v>12</v>
      </c>
      <c r="F14" s="8">
        <v>2.38</v>
      </c>
      <c r="G14" s="12">
        <v>15</v>
      </c>
      <c r="H14" s="8">
        <v>4.7300000000000004</v>
      </c>
      <c r="I14" s="12">
        <v>0</v>
      </c>
    </row>
    <row r="15" spans="2:9" ht="15" customHeight="1" x14ac:dyDescent="0.15">
      <c r="B15" t="s">
        <v>72</v>
      </c>
      <c r="C15" s="12">
        <v>171</v>
      </c>
      <c r="D15" s="8">
        <v>20.8</v>
      </c>
      <c r="E15" s="12">
        <v>134</v>
      </c>
      <c r="F15" s="8">
        <v>26.53</v>
      </c>
      <c r="G15" s="12">
        <v>37</v>
      </c>
      <c r="H15" s="8">
        <v>11.67</v>
      </c>
      <c r="I15" s="12">
        <v>0</v>
      </c>
    </row>
    <row r="16" spans="2:9" ht="15" customHeight="1" x14ac:dyDescent="0.15">
      <c r="B16" t="s">
        <v>73</v>
      </c>
      <c r="C16" s="12">
        <v>103</v>
      </c>
      <c r="D16" s="8">
        <v>12.53</v>
      </c>
      <c r="E16" s="12">
        <v>87</v>
      </c>
      <c r="F16" s="8">
        <v>17.23</v>
      </c>
      <c r="G16" s="12">
        <v>16</v>
      </c>
      <c r="H16" s="8">
        <v>5.05</v>
      </c>
      <c r="I16" s="12">
        <v>0</v>
      </c>
    </row>
    <row r="17" spans="2:9" ht="15" customHeight="1" x14ac:dyDescent="0.15">
      <c r="B17" t="s">
        <v>74</v>
      </c>
      <c r="C17" s="12">
        <v>21</v>
      </c>
      <c r="D17" s="8">
        <v>2.5499999999999998</v>
      </c>
      <c r="E17" s="12">
        <v>13</v>
      </c>
      <c r="F17" s="8">
        <v>2.57</v>
      </c>
      <c r="G17" s="12">
        <v>8</v>
      </c>
      <c r="H17" s="8">
        <v>2.52</v>
      </c>
      <c r="I17" s="12">
        <v>0</v>
      </c>
    </row>
    <row r="18" spans="2:9" ht="15" customHeight="1" x14ac:dyDescent="0.15">
      <c r="B18" t="s">
        <v>75</v>
      </c>
      <c r="C18" s="12">
        <v>34</v>
      </c>
      <c r="D18" s="8">
        <v>4.1399999999999997</v>
      </c>
      <c r="E18" s="12">
        <v>28</v>
      </c>
      <c r="F18" s="8">
        <v>5.54</v>
      </c>
      <c r="G18" s="12">
        <v>6</v>
      </c>
      <c r="H18" s="8">
        <v>1.89</v>
      </c>
      <c r="I18" s="12">
        <v>0</v>
      </c>
    </row>
    <row r="19" spans="2:9" ht="15" customHeight="1" x14ac:dyDescent="0.15">
      <c r="B19" t="s">
        <v>76</v>
      </c>
      <c r="C19" s="12">
        <v>20</v>
      </c>
      <c r="D19" s="8">
        <v>2.4300000000000002</v>
      </c>
      <c r="E19" s="12">
        <v>10</v>
      </c>
      <c r="F19" s="8">
        <v>1.98</v>
      </c>
      <c r="G19" s="12">
        <v>10</v>
      </c>
      <c r="H19" s="8">
        <v>3.15</v>
      </c>
      <c r="I19" s="12">
        <v>0</v>
      </c>
    </row>
    <row r="20" spans="2:9" ht="15" customHeight="1" x14ac:dyDescent="0.15">
      <c r="B20" s="9" t="s">
        <v>216</v>
      </c>
      <c r="C20" s="12">
        <f>SUM(LTBL_14384[総数／事業所数])</f>
        <v>822</v>
      </c>
      <c r="E20" s="12">
        <f>SUBTOTAL(109,LTBL_14384[個人／事業所数])</f>
        <v>505</v>
      </c>
      <c r="G20" s="12">
        <f>SUBTOTAL(109,LTBL_14384[法人／事業所数])</f>
        <v>317</v>
      </c>
      <c r="I20" s="12">
        <f>SUBTOTAL(109,LTBL_14384[法人以外の団体／事業所数])</f>
        <v>0</v>
      </c>
    </row>
    <row r="21" spans="2:9" ht="15" customHeight="1" x14ac:dyDescent="0.15">
      <c r="E21" s="11">
        <f>LTBL_14384[[#Totals],[個人／事業所数]]/LTBL_14384[[#Totals],[総数／事業所数]]</f>
        <v>0.61435523114355228</v>
      </c>
      <c r="G21" s="11">
        <f>LTBL_14384[[#Totals],[法人／事業所数]]/LTBL_14384[[#Totals],[総数／事業所数]]</f>
        <v>0.38564476885644766</v>
      </c>
      <c r="I21" s="11">
        <f>LTBL_14384[[#Totals],[法人以外の団体／事業所数]]/LTBL_14384[[#Totals],[総数／事業所数]]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222</v>
      </c>
      <c r="E23" s="10" t="s">
        <v>80</v>
      </c>
      <c r="F23" s="10" t="s">
        <v>223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2</v>
      </c>
      <c r="D24" t="s">
        <v>217</v>
      </c>
      <c r="E24">
        <v>0</v>
      </c>
      <c r="F24" t="s">
        <v>219</v>
      </c>
      <c r="G24">
        <v>2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266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131</v>
      </c>
      <c r="D29" s="8">
        <v>15.94</v>
      </c>
      <c r="E29" s="12">
        <v>114</v>
      </c>
      <c r="F29" s="8">
        <v>22.57</v>
      </c>
      <c r="G29" s="12">
        <v>17</v>
      </c>
      <c r="H29" s="8">
        <v>5.36</v>
      </c>
      <c r="I29" s="12">
        <v>0</v>
      </c>
    </row>
    <row r="30" spans="2:9" ht="15" customHeight="1" x14ac:dyDescent="0.15">
      <c r="B30" t="s">
        <v>100</v>
      </c>
      <c r="C30" s="12">
        <v>83</v>
      </c>
      <c r="D30" s="8">
        <v>10.1</v>
      </c>
      <c r="E30" s="12">
        <v>75</v>
      </c>
      <c r="F30" s="8">
        <v>14.85</v>
      </c>
      <c r="G30" s="12">
        <v>8</v>
      </c>
      <c r="H30" s="8">
        <v>2.52</v>
      </c>
      <c r="I30" s="12">
        <v>0</v>
      </c>
    </row>
    <row r="31" spans="2:9" ht="15" customHeight="1" x14ac:dyDescent="0.15">
      <c r="B31" t="s">
        <v>96</v>
      </c>
      <c r="C31" s="12">
        <v>77</v>
      </c>
      <c r="D31" s="8">
        <v>9.3699999999999992</v>
      </c>
      <c r="E31" s="12">
        <v>59</v>
      </c>
      <c r="F31" s="8">
        <v>11.68</v>
      </c>
      <c r="G31" s="12">
        <v>18</v>
      </c>
      <c r="H31" s="8">
        <v>5.68</v>
      </c>
      <c r="I31" s="12">
        <v>0</v>
      </c>
    </row>
    <row r="32" spans="2:9" ht="15" customHeight="1" x14ac:dyDescent="0.15">
      <c r="B32" t="s">
        <v>92</v>
      </c>
      <c r="C32" s="12">
        <v>72</v>
      </c>
      <c r="D32" s="8">
        <v>8.76</v>
      </c>
      <c r="E32" s="12">
        <v>48</v>
      </c>
      <c r="F32" s="8">
        <v>9.5</v>
      </c>
      <c r="G32" s="12">
        <v>24</v>
      </c>
      <c r="H32" s="8">
        <v>7.57</v>
      </c>
      <c r="I32" s="12">
        <v>0</v>
      </c>
    </row>
    <row r="33" spans="2:9" ht="15" customHeight="1" x14ac:dyDescent="0.15">
      <c r="B33" t="s">
        <v>94</v>
      </c>
      <c r="C33" s="12">
        <v>48</v>
      </c>
      <c r="D33" s="8">
        <v>5.84</v>
      </c>
      <c r="E33" s="12">
        <v>26</v>
      </c>
      <c r="F33" s="8">
        <v>5.15</v>
      </c>
      <c r="G33" s="12">
        <v>22</v>
      </c>
      <c r="H33" s="8">
        <v>6.94</v>
      </c>
      <c r="I33" s="12">
        <v>0</v>
      </c>
    </row>
    <row r="34" spans="2:9" ht="15" customHeight="1" x14ac:dyDescent="0.15">
      <c r="B34" t="s">
        <v>85</v>
      </c>
      <c r="C34" s="12">
        <v>41</v>
      </c>
      <c r="D34" s="8">
        <v>4.99</v>
      </c>
      <c r="E34" s="12">
        <v>10</v>
      </c>
      <c r="F34" s="8">
        <v>1.98</v>
      </c>
      <c r="G34" s="12">
        <v>31</v>
      </c>
      <c r="H34" s="8">
        <v>9.7799999999999994</v>
      </c>
      <c r="I34" s="12">
        <v>0</v>
      </c>
    </row>
    <row r="35" spans="2:9" ht="15" customHeight="1" x14ac:dyDescent="0.15">
      <c r="B35" t="s">
        <v>86</v>
      </c>
      <c r="C35" s="12">
        <v>40</v>
      </c>
      <c r="D35" s="8">
        <v>4.87</v>
      </c>
      <c r="E35" s="12">
        <v>17</v>
      </c>
      <c r="F35" s="8">
        <v>3.37</v>
      </c>
      <c r="G35" s="12">
        <v>23</v>
      </c>
      <c r="H35" s="8">
        <v>7.26</v>
      </c>
      <c r="I35" s="12">
        <v>0</v>
      </c>
    </row>
    <row r="36" spans="2:9" ht="15" customHeight="1" x14ac:dyDescent="0.15">
      <c r="B36" t="s">
        <v>87</v>
      </c>
      <c r="C36" s="12">
        <v>34</v>
      </c>
      <c r="D36" s="8">
        <v>4.1399999999999997</v>
      </c>
      <c r="E36" s="12">
        <v>10</v>
      </c>
      <c r="F36" s="8">
        <v>1.98</v>
      </c>
      <c r="G36" s="12">
        <v>24</v>
      </c>
      <c r="H36" s="8">
        <v>7.57</v>
      </c>
      <c r="I36" s="12">
        <v>0</v>
      </c>
    </row>
    <row r="37" spans="2:9" ht="15" customHeight="1" x14ac:dyDescent="0.15">
      <c r="B37" t="s">
        <v>91</v>
      </c>
      <c r="C37" s="12">
        <v>33</v>
      </c>
      <c r="D37" s="8">
        <v>4.01</v>
      </c>
      <c r="E37" s="12">
        <v>25</v>
      </c>
      <c r="F37" s="8">
        <v>4.95</v>
      </c>
      <c r="G37" s="12">
        <v>8</v>
      </c>
      <c r="H37" s="8">
        <v>2.52</v>
      </c>
      <c r="I37" s="12">
        <v>0</v>
      </c>
    </row>
    <row r="38" spans="2:9" ht="15" customHeight="1" x14ac:dyDescent="0.15">
      <c r="B38" t="s">
        <v>111</v>
      </c>
      <c r="C38" s="12">
        <v>31</v>
      </c>
      <c r="D38" s="8">
        <v>3.77</v>
      </c>
      <c r="E38" s="12">
        <v>17</v>
      </c>
      <c r="F38" s="8">
        <v>3.37</v>
      </c>
      <c r="G38" s="12">
        <v>14</v>
      </c>
      <c r="H38" s="8">
        <v>4.42</v>
      </c>
      <c r="I38" s="12">
        <v>0</v>
      </c>
    </row>
    <row r="39" spans="2:9" ht="15" customHeight="1" x14ac:dyDescent="0.15">
      <c r="B39" t="s">
        <v>103</v>
      </c>
      <c r="C39" s="12">
        <v>28</v>
      </c>
      <c r="D39" s="8">
        <v>3.41</v>
      </c>
      <c r="E39" s="12">
        <v>27</v>
      </c>
      <c r="F39" s="8">
        <v>5.35</v>
      </c>
      <c r="G39" s="12">
        <v>1</v>
      </c>
      <c r="H39" s="8">
        <v>0.32</v>
      </c>
      <c r="I39" s="12">
        <v>0</v>
      </c>
    </row>
    <row r="40" spans="2:9" ht="15" customHeight="1" x14ac:dyDescent="0.15">
      <c r="B40" t="s">
        <v>102</v>
      </c>
      <c r="C40" s="12">
        <v>21</v>
      </c>
      <c r="D40" s="8">
        <v>2.5499999999999998</v>
      </c>
      <c r="E40" s="12">
        <v>13</v>
      </c>
      <c r="F40" s="8">
        <v>2.57</v>
      </c>
      <c r="G40" s="12">
        <v>8</v>
      </c>
      <c r="H40" s="8">
        <v>2.52</v>
      </c>
      <c r="I40" s="12">
        <v>0</v>
      </c>
    </row>
    <row r="41" spans="2:9" ht="15" customHeight="1" x14ac:dyDescent="0.15">
      <c r="B41" t="s">
        <v>95</v>
      </c>
      <c r="C41" s="12">
        <v>17</v>
      </c>
      <c r="D41" s="8">
        <v>2.0699999999999998</v>
      </c>
      <c r="E41" s="12">
        <v>1</v>
      </c>
      <c r="F41" s="8">
        <v>0.2</v>
      </c>
      <c r="G41" s="12">
        <v>16</v>
      </c>
      <c r="H41" s="8">
        <v>5.05</v>
      </c>
      <c r="I41" s="12">
        <v>0</v>
      </c>
    </row>
    <row r="42" spans="2:9" ht="15" customHeight="1" x14ac:dyDescent="0.15">
      <c r="B42" t="s">
        <v>98</v>
      </c>
      <c r="C42" s="12">
        <v>15</v>
      </c>
      <c r="D42" s="8">
        <v>1.82</v>
      </c>
      <c r="E42" s="12">
        <v>7</v>
      </c>
      <c r="F42" s="8">
        <v>1.39</v>
      </c>
      <c r="G42" s="12">
        <v>8</v>
      </c>
      <c r="H42" s="8">
        <v>2.52</v>
      </c>
      <c r="I42" s="12">
        <v>0</v>
      </c>
    </row>
    <row r="43" spans="2:9" ht="15" customHeight="1" x14ac:dyDescent="0.15">
      <c r="B43" t="s">
        <v>93</v>
      </c>
      <c r="C43" s="12">
        <v>13</v>
      </c>
      <c r="D43" s="8">
        <v>1.58</v>
      </c>
      <c r="E43" s="12">
        <v>6</v>
      </c>
      <c r="F43" s="8">
        <v>1.19</v>
      </c>
      <c r="G43" s="12">
        <v>7</v>
      </c>
      <c r="H43" s="8">
        <v>2.21</v>
      </c>
      <c r="I43" s="12">
        <v>0</v>
      </c>
    </row>
    <row r="44" spans="2:9" ht="15" customHeight="1" x14ac:dyDescent="0.15">
      <c r="B44" t="s">
        <v>107</v>
      </c>
      <c r="C44" s="12">
        <v>12</v>
      </c>
      <c r="D44" s="8">
        <v>1.46</v>
      </c>
      <c r="E44" s="12">
        <v>1</v>
      </c>
      <c r="F44" s="8">
        <v>0.2</v>
      </c>
      <c r="G44" s="12">
        <v>11</v>
      </c>
      <c r="H44" s="8">
        <v>3.47</v>
      </c>
      <c r="I44" s="12">
        <v>0</v>
      </c>
    </row>
    <row r="45" spans="2:9" ht="15" customHeight="1" x14ac:dyDescent="0.15">
      <c r="B45" t="s">
        <v>121</v>
      </c>
      <c r="C45" s="12">
        <v>11</v>
      </c>
      <c r="D45" s="8">
        <v>1.34</v>
      </c>
      <c r="E45" s="12">
        <v>5</v>
      </c>
      <c r="F45" s="8">
        <v>0.99</v>
      </c>
      <c r="G45" s="12">
        <v>6</v>
      </c>
      <c r="H45" s="8">
        <v>1.89</v>
      </c>
      <c r="I45" s="12">
        <v>0</v>
      </c>
    </row>
    <row r="46" spans="2:9" ht="15" customHeight="1" x14ac:dyDescent="0.15">
      <c r="B46" t="s">
        <v>116</v>
      </c>
      <c r="C46" s="12">
        <v>11</v>
      </c>
      <c r="D46" s="8">
        <v>1.34</v>
      </c>
      <c r="E46" s="12">
        <v>8</v>
      </c>
      <c r="F46" s="8">
        <v>1.58</v>
      </c>
      <c r="G46" s="12">
        <v>3</v>
      </c>
      <c r="H46" s="8">
        <v>0.95</v>
      </c>
      <c r="I46" s="12">
        <v>0</v>
      </c>
    </row>
    <row r="47" spans="2:9" ht="15" customHeight="1" x14ac:dyDescent="0.15">
      <c r="B47" t="s">
        <v>97</v>
      </c>
      <c r="C47" s="12">
        <v>10</v>
      </c>
      <c r="D47" s="8">
        <v>1.22</v>
      </c>
      <c r="E47" s="12">
        <v>5</v>
      </c>
      <c r="F47" s="8">
        <v>0.99</v>
      </c>
      <c r="G47" s="12">
        <v>5</v>
      </c>
      <c r="H47" s="8">
        <v>1.58</v>
      </c>
      <c r="I47" s="12">
        <v>0</v>
      </c>
    </row>
    <row r="48" spans="2:9" ht="15" customHeight="1" x14ac:dyDescent="0.15">
      <c r="B48" t="s">
        <v>126</v>
      </c>
      <c r="C48" s="12">
        <v>9</v>
      </c>
      <c r="D48" s="8">
        <v>1.0900000000000001</v>
      </c>
      <c r="E48" s="12">
        <v>3</v>
      </c>
      <c r="F48" s="8">
        <v>0.59</v>
      </c>
      <c r="G48" s="12">
        <v>6</v>
      </c>
      <c r="H48" s="8">
        <v>1.89</v>
      </c>
      <c r="I48" s="12">
        <v>0</v>
      </c>
    </row>
    <row r="49" spans="2:9" ht="15" customHeight="1" x14ac:dyDescent="0.15">
      <c r="B49" t="s">
        <v>101</v>
      </c>
      <c r="C49" s="12">
        <v>9</v>
      </c>
      <c r="D49" s="8">
        <v>1.0900000000000001</v>
      </c>
      <c r="E49" s="12">
        <v>4</v>
      </c>
      <c r="F49" s="8">
        <v>0.79</v>
      </c>
      <c r="G49" s="12">
        <v>5</v>
      </c>
      <c r="H49" s="8">
        <v>1.58</v>
      </c>
      <c r="I49" s="12">
        <v>0</v>
      </c>
    </row>
    <row r="52" spans="2:9" ht="33" customHeight="1" x14ac:dyDescent="0.15">
      <c r="B52" t="s">
        <v>283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65</v>
      </c>
      <c r="D53" s="8">
        <v>7.91</v>
      </c>
      <c r="E53" s="12">
        <v>54</v>
      </c>
      <c r="F53" s="8">
        <v>10.69</v>
      </c>
      <c r="G53" s="12">
        <v>11</v>
      </c>
      <c r="H53" s="8">
        <v>3.47</v>
      </c>
      <c r="I53" s="12">
        <v>0</v>
      </c>
    </row>
    <row r="54" spans="2:9" ht="15" customHeight="1" x14ac:dyDescent="0.15">
      <c r="B54" t="s">
        <v>155</v>
      </c>
      <c r="C54" s="12">
        <v>43</v>
      </c>
      <c r="D54" s="8">
        <v>5.23</v>
      </c>
      <c r="E54" s="12">
        <v>36</v>
      </c>
      <c r="F54" s="8">
        <v>7.13</v>
      </c>
      <c r="G54" s="12">
        <v>7</v>
      </c>
      <c r="H54" s="8">
        <v>2.21</v>
      </c>
      <c r="I54" s="12">
        <v>0</v>
      </c>
    </row>
    <row r="55" spans="2:9" ht="15" customHeight="1" x14ac:dyDescent="0.15">
      <c r="B55" t="s">
        <v>152</v>
      </c>
      <c r="C55" s="12">
        <v>36</v>
      </c>
      <c r="D55" s="8">
        <v>4.38</v>
      </c>
      <c r="E55" s="12">
        <v>36</v>
      </c>
      <c r="F55" s="8">
        <v>7.13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150</v>
      </c>
      <c r="C56" s="12">
        <v>31</v>
      </c>
      <c r="D56" s="8">
        <v>3.77</v>
      </c>
      <c r="E56" s="12">
        <v>26</v>
      </c>
      <c r="F56" s="8">
        <v>5.15</v>
      </c>
      <c r="G56" s="12">
        <v>5</v>
      </c>
      <c r="H56" s="8">
        <v>1.58</v>
      </c>
      <c r="I56" s="12">
        <v>0</v>
      </c>
    </row>
    <row r="57" spans="2:9" ht="15" customHeight="1" x14ac:dyDescent="0.15">
      <c r="B57" t="s">
        <v>187</v>
      </c>
      <c r="C57" s="12">
        <v>23</v>
      </c>
      <c r="D57" s="8">
        <v>2.8</v>
      </c>
      <c r="E57" s="12">
        <v>17</v>
      </c>
      <c r="F57" s="8">
        <v>3.37</v>
      </c>
      <c r="G57" s="12">
        <v>6</v>
      </c>
      <c r="H57" s="8">
        <v>1.89</v>
      </c>
      <c r="I57" s="12">
        <v>0</v>
      </c>
    </row>
    <row r="58" spans="2:9" ht="15" customHeight="1" x14ac:dyDescent="0.15">
      <c r="B58" t="s">
        <v>166</v>
      </c>
      <c r="C58" s="12">
        <v>22</v>
      </c>
      <c r="D58" s="8">
        <v>2.68</v>
      </c>
      <c r="E58" s="12">
        <v>17</v>
      </c>
      <c r="F58" s="8">
        <v>3.37</v>
      </c>
      <c r="G58" s="12">
        <v>5</v>
      </c>
      <c r="H58" s="8">
        <v>1.58</v>
      </c>
      <c r="I58" s="12">
        <v>0</v>
      </c>
    </row>
    <row r="59" spans="2:9" ht="15" customHeight="1" x14ac:dyDescent="0.15">
      <c r="B59" t="s">
        <v>154</v>
      </c>
      <c r="C59" s="12">
        <v>22</v>
      </c>
      <c r="D59" s="8">
        <v>2.68</v>
      </c>
      <c r="E59" s="12">
        <v>22</v>
      </c>
      <c r="F59" s="8">
        <v>4.3600000000000003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151</v>
      </c>
      <c r="C60" s="12">
        <v>21</v>
      </c>
      <c r="D60" s="8">
        <v>2.5499999999999998</v>
      </c>
      <c r="E60" s="12">
        <v>19</v>
      </c>
      <c r="F60" s="8">
        <v>3.76</v>
      </c>
      <c r="G60" s="12">
        <v>2</v>
      </c>
      <c r="H60" s="8">
        <v>0.63</v>
      </c>
      <c r="I60" s="12">
        <v>0</v>
      </c>
    </row>
    <row r="61" spans="2:9" ht="15" customHeight="1" x14ac:dyDescent="0.15">
      <c r="B61" t="s">
        <v>157</v>
      </c>
      <c r="C61" s="12">
        <v>19</v>
      </c>
      <c r="D61" s="8">
        <v>2.31</v>
      </c>
      <c r="E61" s="12">
        <v>19</v>
      </c>
      <c r="F61" s="8">
        <v>3.76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143</v>
      </c>
      <c r="C62" s="12">
        <v>18</v>
      </c>
      <c r="D62" s="8">
        <v>2.19</v>
      </c>
      <c r="E62" s="12">
        <v>13</v>
      </c>
      <c r="F62" s="8">
        <v>2.57</v>
      </c>
      <c r="G62" s="12">
        <v>5</v>
      </c>
      <c r="H62" s="8">
        <v>1.58</v>
      </c>
      <c r="I62" s="12">
        <v>0</v>
      </c>
    </row>
    <row r="63" spans="2:9" ht="15" customHeight="1" x14ac:dyDescent="0.15">
      <c r="B63" t="s">
        <v>145</v>
      </c>
      <c r="C63" s="12">
        <v>18</v>
      </c>
      <c r="D63" s="8">
        <v>2.19</v>
      </c>
      <c r="E63" s="12">
        <v>9</v>
      </c>
      <c r="F63" s="8">
        <v>1.78</v>
      </c>
      <c r="G63" s="12">
        <v>9</v>
      </c>
      <c r="H63" s="8">
        <v>2.84</v>
      </c>
      <c r="I63" s="12">
        <v>0</v>
      </c>
    </row>
    <row r="64" spans="2:9" ht="15" customHeight="1" x14ac:dyDescent="0.15">
      <c r="B64" t="s">
        <v>142</v>
      </c>
      <c r="C64" s="12">
        <v>16</v>
      </c>
      <c r="D64" s="8">
        <v>1.95</v>
      </c>
      <c r="E64" s="12">
        <v>13</v>
      </c>
      <c r="F64" s="8">
        <v>2.57</v>
      </c>
      <c r="G64" s="12">
        <v>3</v>
      </c>
      <c r="H64" s="8">
        <v>0.95</v>
      </c>
      <c r="I64" s="12">
        <v>0</v>
      </c>
    </row>
    <row r="65" spans="2:9" ht="15" customHeight="1" x14ac:dyDescent="0.15">
      <c r="B65" t="s">
        <v>170</v>
      </c>
      <c r="C65" s="12">
        <v>16</v>
      </c>
      <c r="D65" s="8">
        <v>1.95</v>
      </c>
      <c r="E65" s="12">
        <v>13</v>
      </c>
      <c r="F65" s="8">
        <v>2.57</v>
      </c>
      <c r="G65" s="12">
        <v>3</v>
      </c>
      <c r="H65" s="8">
        <v>0.95</v>
      </c>
      <c r="I65" s="12">
        <v>0</v>
      </c>
    </row>
    <row r="66" spans="2:9" ht="15" customHeight="1" x14ac:dyDescent="0.15">
      <c r="B66" t="s">
        <v>138</v>
      </c>
      <c r="C66" s="12">
        <v>15</v>
      </c>
      <c r="D66" s="8">
        <v>1.82</v>
      </c>
      <c r="E66" s="12">
        <v>1</v>
      </c>
      <c r="F66" s="8">
        <v>0.2</v>
      </c>
      <c r="G66" s="12">
        <v>14</v>
      </c>
      <c r="H66" s="8">
        <v>4.42</v>
      </c>
      <c r="I66" s="12">
        <v>0</v>
      </c>
    </row>
    <row r="67" spans="2:9" ht="15" customHeight="1" x14ac:dyDescent="0.15">
      <c r="B67" t="s">
        <v>140</v>
      </c>
      <c r="C67" s="12">
        <v>15</v>
      </c>
      <c r="D67" s="8">
        <v>1.82</v>
      </c>
      <c r="E67" s="12">
        <v>5</v>
      </c>
      <c r="F67" s="8">
        <v>0.99</v>
      </c>
      <c r="G67" s="12">
        <v>10</v>
      </c>
      <c r="H67" s="8">
        <v>3.15</v>
      </c>
      <c r="I67" s="12">
        <v>0</v>
      </c>
    </row>
    <row r="68" spans="2:9" ht="15" customHeight="1" x14ac:dyDescent="0.15">
      <c r="B68" t="s">
        <v>141</v>
      </c>
      <c r="C68" s="12">
        <v>14</v>
      </c>
      <c r="D68" s="8">
        <v>1.7</v>
      </c>
      <c r="E68" s="12">
        <v>5</v>
      </c>
      <c r="F68" s="8">
        <v>0.99</v>
      </c>
      <c r="G68" s="12">
        <v>9</v>
      </c>
      <c r="H68" s="8">
        <v>2.84</v>
      </c>
      <c r="I68" s="12">
        <v>0</v>
      </c>
    </row>
    <row r="69" spans="2:9" ht="15" customHeight="1" x14ac:dyDescent="0.15">
      <c r="B69" t="s">
        <v>146</v>
      </c>
      <c r="C69" s="12">
        <v>13</v>
      </c>
      <c r="D69" s="8">
        <v>1.58</v>
      </c>
      <c r="E69" s="12">
        <v>1</v>
      </c>
      <c r="F69" s="8">
        <v>0.2</v>
      </c>
      <c r="G69" s="12">
        <v>12</v>
      </c>
      <c r="H69" s="8">
        <v>3.79</v>
      </c>
      <c r="I69" s="12">
        <v>0</v>
      </c>
    </row>
    <row r="70" spans="2:9" ht="15" customHeight="1" x14ac:dyDescent="0.15">
      <c r="B70" t="s">
        <v>183</v>
      </c>
      <c r="C70" s="12">
        <v>13</v>
      </c>
      <c r="D70" s="8">
        <v>1.58</v>
      </c>
      <c r="E70" s="12">
        <v>11</v>
      </c>
      <c r="F70" s="8">
        <v>2.1800000000000002</v>
      </c>
      <c r="G70" s="12">
        <v>2</v>
      </c>
      <c r="H70" s="8">
        <v>0.63</v>
      </c>
      <c r="I70" s="12">
        <v>0</v>
      </c>
    </row>
    <row r="71" spans="2:9" ht="15" customHeight="1" x14ac:dyDescent="0.15">
      <c r="B71" t="s">
        <v>161</v>
      </c>
      <c r="C71" s="12">
        <v>12</v>
      </c>
      <c r="D71" s="8">
        <v>1.46</v>
      </c>
      <c r="E71" s="12">
        <v>6</v>
      </c>
      <c r="F71" s="8">
        <v>1.19</v>
      </c>
      <c r="G71" s="12">
        <v>6</v>
      </c>
      <c r="H71" s="8">
        <v>1.89</v>
      </c>
      <c r="I71" s="12">
        <v>0</v>
      </c>
    </row>
    <row r="72" spans="2:9" ht="15" customHeight="1" x14ac:dyDescent="0.15">
      <c r="B72" t="s">
        <v>139</v>
      </c>
      <c r="C72" s="12">
        <v>11</v>
      </c>
      <c r="D72" s="8">
        <v>1.34</v>
      </c>
      <c r="E72" s="12">
        <v>3</v>
      </c>
      <c r="F72" s="8">
        <v>0.59</v>
      </c>
      <c r="G72" s="12">
        <v>8</v>
      </c>
      <c r="H72" s="8">
        <v>2.52</v>
      </c>
      <c r="I72" s="12">
        <v>0</v>
      </c>
    </row>
    <row r="73" spans="2:9" ht="15" customHeight="1" x14ac:dyDescent="0.15">
      <c r="B73" t="s">
        <v>174</v>
      </c>
      <c r="C73" s="12">
        <v>11</v>
      </c>
      <c r="D73" s="8">
        <v>1.34</v>
      </c>
      <c r="E73" s="12">
        <v>5</v>
      </c>
      <c r="F73" s="8">
        <v>0.99</v>
      </c>
      <c r="G73" s="12">
        <v>6</v>
      </c>
      <c r="H73" s="8">
        <v>1.89</v>
      </c>
      <c r="I73" s="12">
        <v>0</v>
      </c>
    </row>
    <row r="74" spans="2:9" ht="15" customHeight="1" x14ac:dyDescent="0.15">
      <c r="B74" t="s">
        <v>153</v>
      </c>
      <c r="C74" s="12">
        <v>11</v>
      </c>
      <c r="D74" s="8">
        <v>1.34</v>
      </c>
      <c r="E74" s="12">
        <v>10</v>
      </c>
      <c r="F74" s="8">
        <v>1.98</v>
      </c>
      <c r="G74" s="12">
        <v>1</v>
      </c>
      <c r="H74" s="8">
        <v>0.32</v>
      </c>
      <c r="I74" s="12">
        <v>0</v>
      </c>
    </row>
    <row r="76" spans="2:9" ht="15" customHeight="1" x14ac:dyDescent="0.15">
      <c r="B76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430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216</v>
      </c>
      <c r="D6" s="8">
        <v>22.18</v>
      </c>
      <c r="E6" s="12">
        <v>69</v>
      </c>
      <c r="F6" s="8">
        <v>14.94</v>
      </c>
      <c r="G6" s="12">
        <v>147</v>
      </c>
      <c r="H6" s="8">
        <v>28.71</v>
      </c>
      <c r="I6" s="12">
        <v>0</v>
      </c>
    </row>
    <row r="7" spans="2:9" ht="15" customHeight="1" x14ac:dyDescent="0.15">
      <c r="B7" t="s">
        <v>64</v>
      </c>
      <c r="C7" s="12">
        <v>169</v>
      </c>
      <c r="D7" s="8">
        <v>17.350000000000001</v>
      </c>
      <c r="E7" s="12">
        <v>55</v>
      </c>
      <c r="F7" s="8">
        <v>11.9</v>
      </c>
      <c r="G7" s="12">
        <v>114</v>
      </c>
      <c r="H7" s="8">
        <v>22.27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0.2</v>
      </c>
      <c r="I9" s="12">
        <v>0</v>
      </c>
    </row>
    <row r="10" spans="2:9" ht="15" customHeight="1" x14ac:dyDescent="0.15">
      <c r="B10" t="s">
        <v>67</v>
      </c>
      <c r="C10" s="12">
        <v>15</v>
      </c>
      <c r="D10" s="8">
        <v>1.54</v>
      </c>
      <c r="E10" s="12">
        <v>3</v>
      </c>
      <c r="F10" s="8">
        <v>0.65</v>
      </c>
      <c r="G10" s="12">
        <v>12</v>
      </c>
      <c r="H10" s="8">
        <v>2.34</v>
      </c>
      <c r="I10" s="12">
        <v>0</v>
      </c>
    </row>
    <row r="11" spans="2:9" ht="15" customHeight="1" x14ac:dyDescent="0.15">
      <c r="B11" t="s">
        <v>68</v>
      </c>
      <c r="C11" s="12">
        <v>165</v>
      </c>
      <c r="D11" s="8">
        <v>16.940000000000001</v>
      </c>
      <c r="E11" s="12">
        <v>77</v>
      </c>
      <c r="F11" s="8">
        <v>16.670000000000002</v>
      </c>
      <c r="G11" s="12">
        <v>88</v>
      </c>
      <c r="H11" s="8">
        <v>17.190000000000001</v>
      </c>
      <c r="I11" s="12">
        <v>0</v>
      </c>
    </row>
    <row r="12" spans="2:9" ht="15" customHeight="1" x14ac:dyDescent="0.15">
      <c r="B12" t="s">
        <v>69</v>
      </c>
      <c r="C12" s="12">
        <v>3</v>
      </c>
      <c r="D12" s="8">
        <v>0.31</v>
      </c>
      <c r="E12" s="12">
        <v>1</v>
      </c>
      <c r="F12" s="8">
        <v>0.22</v>
      </c>
      <c r="G12" s="12">
        <v>2</v>
      </c>
      <c r="H12" s="8">
        <v>0.39</v>
      </c>
      <c r="I12" s="12">
        <v>0</v>
      </c>
    </row>
    <row r="13" spans="2:9" ht="15" customHeight="1" x14ac:dyDescent="0.15">
      <c r="B13" t="s">
        <v>70</v>
      </c>
      <c r="C13" s="12">
        <v>72</v>
      </c>
      <c r="D13" s="8">
        <v>7.39</v>
      </c>
      <c r="E13" s="12">
        <v>26</v>
      </c>
      <c r="F13" s="8">
        <v>5.63</v>
      </c>
      <c r="G13" s="12">
        <v>46</v>
      </c>
      <c r="H13" s="8">
        <v>8.98</v>
      </c>
      <c r="I13" s="12">
        <v>0</v>
      </c>
    </row>
    <row r="14" spans="2:9" ht="15" customHeight="1" x14ac:dyDescent="0.15">
      <c r="B14" t="s">
        <v>71</v>
      </c>
      <c r="C14" s="12">
        <v>35</v>
      </c>
      <c r="D14" s="8">
        <v>3.59</v>
      </c>
      <c r="E14" s="12">
        <v>18</v>
      </c>
      <c r="F14" s="8">
        <v>3.9</v>
      </c>
      <c r="G14" s="12">
        <v>17</v>
      </c>
      <c r="H14" s="8">
        <v>3.32</v>
      </c>
      <c r="I14" s="12">
        <v>0</v>
      </c>
    </row>
    <row r="15" spans="2:9" ht="15" customHeight="1" x14ac:dyDescent="0.15">
      <c r="B15" t="s">
        <v>72</v>
      </c>
      <c r="C15" s="12">
        <v>117</v>
      </c>
      <c r="D15" s="8">
        <v>12.01</v>
      </c>
      <c r="E15" s="12">
        <v>92</v>
      </c>
      <c r="F15" s="8">
        <v>19.91</v>
      </c>
      <c r="G15" s="12">
        <v>25</v>
      </c>
      <c r="H15" s="8">
        <v>4.88</v>
      </c>
      <c r="I15" s="12">
        <v>0</v>
      </c>
    </row>
    <row r="16" spans="2:9" ht="15" customHeight="1" x14ac:dyDescent="0.15">
      <c r="B16" t="s">
        <v>73</v>
      </c>
      <c r="C16" s="12">
        <v>80</v>
      </c>
      <c r="D16" s="8">
        <v>8.2100000000000009</v>
      </c>
      <c r="E16" s="12">
        <v>68</v>
      </c>
      <c r="F16" s="8">
        <v>14.72</v>
      </c>
      <c r="G16" s="12">
        <v>12</v>
      </c>
      <c r="H16" s="8">
        <v>2.34</v>
      </c>
      <c r="I16" s="12">
        <v>0</v>
      </c>
    </row>
    <row r="17" spans="2:9" ht="15" customHeight="1" x14ac:dyDescent="0.15">
      <c r="B17" t="s">
        <v>74</v>
      </c>
      <c r="C17" s="12">
        <v>27</v>
      </c>
      <c r="D17" s="8">
        <v>2.77</v>
      </c>
      <c r="E17" s="12">
        <v>18</v>
      </c>
      <c r="F17" s="8">
        <v>3.9</v>
      </c>
      <c r="G17" s="12">
        <v>9</v>
      </c>
      <c r="H17" s="8">
        <v>1.76</v>
      </c>
      <c r="I17" s="12">
        <v>0</v>
      </c>
    </row>
    <row r="18" spans="2:9" ht="15" customHeight="1" x14ac:dyDescent="0.15">
      <c r="B18" t="s">
        <v>75</v>
      </c>
      <c r="C18" s="12">
        <v>24</v>
      </c>
      <c r="D18" s="8">
        <v>2.46</v>
      </c>
      <c r="E18" s="12">
        <v>18</v>
      </c>
      <c r="F18" s="8">
        <v>3.9</v>
      </c>
      <c r="G18" s="12">
        <v>6</v>
      </c>
      <c r="H18" s="8">
        <v>1.17</v>
      </c>
      <c r="I18" s="12">
        <v>0</v>
      </c>
    </row>
    <row r="19" spans="2:9" ht="15" customHeight="1" x14ac:dyDescent="0.15">
      <c r="B19" t="s">
        <v>76</v>
      </c>
      <c r="C19" s="12">
        <v>50</v>
      </c>
      <c r="D19" s="8">
        <v>5.13</v>
      </c>
      <c r="E19" s="12">
        <v>17</v>
      </c>
      <c r="F19" s="8">
        <v>3.68</v>
      </c>
      <c r="G19" s="12">
        <v>33</v>
      </c>
      <c r="H19" s="8">
        <v>6.45</v>
      </c>
      <c r="I19" s="12">
        <v>0</v>
      </c>
    </row>
    <row r="20" spans="2:9" ht="15" customHeight="1" x14ac:dyDescent="0.15">
      <c r="B20" s="9" t="s">
        <v>216</v>
      </c>
      <c r="C20" s="12">
        <f>SUM(LTBL_14401[総数／事業所数])</f>
        <v>974</v>
      </c>
      <c r="E20" s="12">
        <f>SUBTOTAL(109,LTBL_14401[個人／事業所数])</f>
        <v>462</v>
      </c>
      <c r="G20" s="12">
        <f>SUBTOTAL(109,LTBL_14401[法人／事業所数])</f>
        <v>512</v>
      </c>
      <c r="I20" s="12">
        <f>SUBTOTAL(109,LTBL_14401[法人以外の団体／事業所数])</f>
        <v>0</v>
      </c>
    </row>
    <row r="21" spans="2:9" ht="15" customHeight="1" x14ac:dyDescent="0.15">
      <c r="E21" s="11">
        <f>LTBL_14401[[#Totals],[個人／事業所数]]/LTBL_14401[[#Totals],[総数／事業所数]]</f>
        <v>0.47433264887063653</v>
      </c>
      <c r="G21" s="11">
        <f>LTBL_14401[[#Totals],[法人／事業所数]]/LTBL_14401[[#Totals],[総数／事業所数]]</f>
        <v>0.52566735112936347</v>
      </c>
      <c r="I21" s="11">
        <f>LTBL_14401[[#Totals],[法人以外の団体／事業所数]]/LTBL_14401[[#Totals],[総数／事業所数]]</f>
        <v>0</v>
      </c>
    </row>
    <row r="23" spans="2:9" ht="33" customHeight="1" x14ac:dyDescent="0.15">
      <c r="B23" t="s">
        <v>215</v>
      </c>
      <c r="C23" s="10" t="s">
        <v>78</v>
      </c>
      <c r="D23" s="10" t="s">
        <v>431</v>
      </c>
      <c r="E23" s="10" t="s">
        <v>80</v>
      </c>
      <c r="F23" s="10" t="s">
        <v>432</v>
      </c>
      <c r="G23" s="10" t="s">
        <v>82</v>
      </c>
      <c r="H23" s="10" t="s">
        <v>234</v>
      </c>
      <c r="I23" s="10" t="s">
        <v>84</v>
      </c>
    </row>
    <row r="24" spans="2:9" ht="15" customHeight="1" x14ac:dyDescent="0.15">
      <c r="B24" t="s">
        <v>218</v>
      </c>
      <c r="C24">
        <v>15</v>
      </c>
      <c r="D24" t="s">
        <v>217</v>
      </c>
      <c r="E24">
        <v>0</v>
      </c>
      <c r="F24" t="s">
        <v>219</v>
      </c>
      <c r="G24">
        <v>15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336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106</v>
      </c>
      <c r="D29" s="8">
        <v>10.88</v>
      </c>
      <c r="E29" s="12">
        <v>89</v>
      </c>
      <c r="F29" s="8">
        <v>19.260000000000002</v>
      </c>
      <c r="G29" s="12">
        <v>17</v>
      </c>
      <c r="H29" s="8">
        <v>3.32</v>
      </c>
      <c r="I29" s="12">
        <v>0</v>
      </c>
    </row>
    <row r="30" spans="2:9" ht="15" customHeight="1" x14ac:dyDescent="0.15">
      <c r="B30" t="s">
        <v>85</v>
      </c>
      <c r="C30" s="12">
        <v>91</v>
      </c>
      <c r="D30" s="8">
        <v>9.34</v>
      </c>
      <c r="E30" s="12">
        <v>30</v>
      </c>
      <c r="F30" s="8">
        <v>6.49</v>
      </c>
      <c r="G30" s="12">
        <v>61</v>
      </c>
      <c r="H30" s="8">
        <v>11.91</v>
      </c>
      <c r="I30" s="12">
        <v>0</v>
      </c>
    </row>
    <row r="31" spans="2:9" ht="15" customHeight="1" x14ac:dyDescent="0.15">
      <c r="B31" t="s">
        <v>86</v>
      </c>
      <c r="C31" s="12">
        <v>74</v>
      </c>
      <c r="D31" s="8">
        <v>7.6</v>
      </c>
      <c r="E31" s="12">
        <v>33</v>
      </c>
      <c r="F31" s="8">
        <v>7.14</v>
      </c>
      <c r="G31" s="12">
        <v>41</v>
      </c>
      <c r="H31" s="8">
        <v>8.01</v>
      </c>
      <c r="I31" s="12">
        <v>0</v>
      </c>
    </row>
    <row r="32" spans="2:9" ht="15" customHeight="1" x14ac:dyDescent="0.15">
      <c r="B32" t="s">
        <v>100</v>
      </c>
      <c r="C32" s="12">
        <v>66</v>
      </c>
      <c r="D32" s="8">
        <v>6.78</v>
      </c>
      <c r="E32" s="12">
        <v>60</v>
      </c>
      <c r="F32" s="8">
        <v>12.99</v>
      </c>
      <c r="G32" s="12">
        <v>6</v>
      </c>
      <c r="H32" s="8">
        <v>1.17</v>
      </c>
      <c r="I32" s="12">
        <v>0</v>
      </c>
    </row>
    <row r="33" spans="2:9" ht="15" customHeight="1" x14ac:dyDescent="0.15">
      <c r="B33" t="s">
        <v>96</v>
      </c>
      <c r="C33" s="12">
        <v>56</v>
      </c>
      <c r="D33" s="8">
        <v>5.75</v>
      </c>
      <c r="E33" s="12">
        <v>25</v>
      </c>
      <c r="F33" s="8">
        <v>5.41</v>
      </c>
      <c r="G33" s="12">
        <v>31</v>
      </c>
      <c r="H33" s="8">
        <v>6.05</v>
      </c>
      <c r="I33" s="12">
        <v>0</v>
      </c>
    </row>
    <row r="34" spans="2:9" ht="15" customHeight="1" x14ac:dyDescent="0.15">
      <c r="B34" t="s">
        <v>87</v>
      </c>
      <c r="C34" s="12">
        <v>51</v>
      </c>
      <c r="D34" s="8">
        <v>5.24</v>
      </c>
      <c r="E34" s="12">
        <v>6</v>
      </c>
      <c r="F34" s="8">
        <v>1.3</v>
      </c>
      <c r="G34" s="12">
        <v>45</v>
      </c>
      <c r="H34" s="8">
        <v>8.7899999999999991</v>
      </c>
      <c r="I34" s="12">
        <v>0</v>
      </c>
    </row>
    <row r="35" spans="2:9" ht="15" customHeight="1" x14ac:dyDescent="0.15">
      <c r="B35" t="s">
        <v>92</v>
      </c>
      <c r="C35" s="12">
        <v>46</v>
      </c>
      <c r="D35" s="8">
        <v>4.72</v>
      </c>
      <c r="E35" s="12">
        <v>30</v>
      </c>
      <c r="F35" s="8">
        <v>6.49</v>
      </c>
      <c r="G35" s="12">
        <v>16</v>
      </c>
      <c r="H35" s="8">
        <v>3.13</v>
      </c>
      <c r="I35" s="12">
        <v>0</v>
      </c>
    </row>
    <row r="36" spans="2:9" ht="15" customHeight="1" x14ac:dyDescent="0.15">
      <c r="B36" t="s">
        <v>94</v>
      </c>
      <c r="C36" s="12">
        <v>42</v>
      </c>
      <c r="D36" s="8">
        <v>4.3099999999999996</v>
      </c>
      <c r="E36" s="12">
        <v>19</v>
      </c>
      <c r="F36" s="8">
        <v>4.1100000000000003</v>
      </c>
      <c r="G36" s="12">
        <v>23</v>
      </c>
      <c r="H36" s="8">
        <v>4.49</v>
      </c>
      <c r="I36" s="12">
        <v>0</v>
      </c>
    </row>
    <row r="37" spans="2:9" ht="15" customHeight="1" x14ac:dyDescent="0.15">
      <c r="B37" t="s">
        <v>88</v>
      </c>
      <c r="C37" s="12">
        <v>34</v>
      </c>
      <c r="D37" s="8">
        <v>3.49</v>
      </c>
      <c r="E37" s="12">
        <v>9</v>
      </c>
      <c r="F37" s="8">
        <v>1.95</v>
      </c>
      <c r="G37" s="12">
        <v>25</v>
      </c>
      <c r="H37" s="8">
        <v>4.88</v>
      </c>
      <c r="I37" s="12">
        <v>0</v>
      </c>
    </row>
    <row r="38" spans="2:9" ht="15" customHeight="1" x14ac:dyDescent="0.15">
      <c r="B38" t="s">
        <v>133</v>
      </c>
      <c r="C38" s="12">
        <v>30</v>
      </c>
      <c r="D38" s="8">
        <v>3.08</v>
      </c>
      <c r="E38" s="12">
        <v>22</v>
      </c>
      <c r="F38" s="8">
        <v>4.76</v>
      </c>
      <c r="G38" s="12">
        <v>8</v>
      </c>
      <c r="H38" s="8">
        <v>1.56</v>
      </c>
      <c r="I38" s="12">
        <v>0</v>
      </c>
    </row>
    <row r="39" spans="2:9" ht="15" customHeight="1" x14ac:dyDescent="0.15">
      <c r="B39" t="s">
        <v>93</v>
      </c>
      <c r="C39" s="12">
        <v>27</v>
      </c>
      <c r="D39" s="8">
        <v>2.77</v>
      </c>
      <c r="E39" s="12">
        <v>13</v>
      </c>
      <c r="F39" s="8">
        <v>2.81</v>
      </c>
      <c r="G39" s="12">
        <v>14</v>
      </c>
      <c r="H39" s="8">
        <v>2.73</v>
      </c>
      <c r="I39" s="12">
        <v>0</v>
      </c>
    </row>
    <row r="40" spans="2:9" ht="15" customHeight="1" x14ac:dyDescent="0.15">
      <c r="B40" t="s">
        <v>102</v>
      </c>
      <c r="C40" s="12">
        <v>27</v>
      </c>
      <c r="D40" s="8">
        <v>2.77</v>
      </c>
      <c r="E40" s="12">
        <v>18</v>
      </c>
      <c r="F40" s="8">
        <v>3.9</v>
      </c>
      <c r="G40" s="12">
        <v>9</v>
      </c>
      <c r="H40" s="8">
        <v>1.76</v>
      </c>
      <c r="I40" s="12">
        <v>0</v>
      </c>
    </row>
    <row r="41" spans="2:9" ht="15" customHeight="1" x14ac:dyDescent="0.15">
      <c r="B41" t="s">
        <v>89</v>
      </c>
      <c r="C41" s="12">
        <v>26</v>
      </c>
      <c r="D41" s="8">
        <v>2.67</v>
      </c>
      <c r="E41" s="12">
        <v>3</v>
      </c>
      <c r="F41" s="8">
        <v>0.65</v>
      </c>
      <c r="G41" s="12">
        <v>23</v>
      </c>
      <c r="H41" s="8">
        <v>4.49</v>
      </c>
      <c r="I41" s="12">
        <v>0</v>
      </c>
    </row>
    <row r="42" spans="2:9" ht="15" customHeight="1" x14ac:dyDescent="0.15">
      <c r="B42" t="s">
        <v>97</v>
      </c>
      <c r="C42" s="12">
        <v>18</v>
      </c>
      <c r="D42" s="8">
        <v>1.85</v>
      </c>
      <c r="E42" s="12">
        <v>13</v>
      </c>
      <c r="F42" s="8">
        <v>2.81</v>
      </c>
      <c r="G42" s="12">
        <v>5</v>
      </c>
      <c r="H42" s="8">
        <v>0.98</v>
      </c>
      <c r="I42" s="12">
        <v>0</v>
      </c>
    </row>
    <row r="43" spans="2:9" ht="15" customHeight="1" x14ac:dyDescent="0.15">
      <c r="B43" t="s">
        <v>103</v>
      </c>
      <c r="C43" s="12">
        <v>18</v>
      </c>
      <c r="D43" s="8">
        <v>1.85</v>
      </c>
      <c r="E43" s="12">
        <v>17</v>
      </c>
      <c r="F43" s="8">
        <v>3.68</v>
      </c>
      <c r="G43" s="12">
        <v>1</v>
      </c>
      <c r="H43" s="8">
        <v>0.2</v>
      </c>
      <c r="I43" s="12">
        <v>0</v>
      </c>
    </row>
    <row r="44" spans="2:9" ht="15" customHeight="1" x14ac:dyDescent="0.15">
      <c r="B44" t="s">
        <v>98</v>
      </c>
      <c r="C44" s="12">
        <v>16</v>
      </c>
      <c r="D44" s="8">
        <v>1.64</v>
      </c>
      <c r="E44" s="12">
        <v>5</v>
      </c>
      <c r="F44" s="8">
        <v>1.08</v>
      </c>
      <c r="G44" s="12">
        <v>11</v>
      </c>
      <c r="H44" s="8">
        <v>2.15</v>
      </c>
      <c r="I44" s="12">
        <v>0</v>
      </c>
    </row>
    <row r="45" spans="2:9" ht="15" customHeight="1" x14ac:dyDescent="0.15">
      <c r="B45" t="s">
        <v>117</v>
      </c>
      <c r="C45" s="12">
        <v>16</v>
      </c>
      <c r="D45" s="8">
        <v>1.64</v>
      </c>
      <c r="E45" s="12">
        <v>8</v>
      </c>
      <c r="F45" s="8">
        <v>1.73</v>
      </c>
      <c r="G45" s="12">
        <v>8</v>
      </c>
      <c r="H45" s="8">
        <v>1.56</v>
      </c>
      <c r="I45" s="12">
        <v>0</v>
      </c>
    </row>
    <row r="46" spans="2:9" ht="15" customHeight="1" x14ac:dyDescent="0.15">
      <c r="B46" t="s">
        <v>106</v>
      </c>
      <c r="C46" s="12">
        <v>13</v>
      </c>
      <c r="D46" s="8">
        <v>1.33</v>
      </c>
      <c r="E46" s="12">
        <v>1</v>
      </c>
      <c r="F46" s="8">
        <v>0.22</v>
      </c>
      <c r="G46" s="12">
        <v>12</v>
      </c>
      <c r="H46" s="8">
        <v>2.34</v>
      </c>
      <c r="I46" s="12">
        <v>0</v>
      </c>
    </row>
    <row r="47" spans="2:9" ht="15" customHeight="1" x14ac:dyDescent="0.15">
      <c r="B47" t="s">
        <v>104</v>
      </c>
      <c r="C47" s="12">
        <v>13</v>
      </c>
      <c r="D47" s="8">
        <v>1.33</v>
      </c>
      <c r="E47" s="12">
        <v>4</v>
      </c>
      <c r="F47" s="8">
        <v>0.87</v>
      </c>
      <c r="G47" s="12">
        <v>9</v>
      </c>
      <c r="H47" s="8">
        <v>1.76</v>
      </c>
      <c r="I47" s="12">
        <v>0</v>
      </c>
    </row>
    <row r="48" spans="2:9" ht="15" customHeight="1" x14ac:dyDescent="0.15">
      <c r="B48" t="s">
        <v>91</v>
      </c>
      <c r="C48" s="12">
        <v>12</v>
      </c>
      <c r="D48" s="8">
        <v>1.23</v>
      </c>
      <c r="E48" s="12">
        <v>9</v>
      </c>
      <c r="F48" s="8">
        <v>1.95</v>
      </c>
      <c r="G48" s="12">
        <v>3</v>
      </c>
      <c r="H48" s="8">
        <v>0.59</v>
      </c>
      <c r="I48" s="12">
        <v>0</v>
      </c>
    </row>
    <row r="49" spans="2:9" ht="15" customHeight="1" x14ac:dyDescent="0.15">
      <c r="B49" t="s">
        <v>134</v>
      </c>
      <c r="C49" s="12">
        <v>12</v>
      </c>
      <c r="D49" s="8">
        <v>1.23</v>
      </c>
      <c r="E49" s="12">
        <v>2</v>
      </c>
      <c r="F49" s="8">
        <v>0.43</v>
      </c>
      <c r="G49" s="12">
        <v>10</v>
      </c>
      <c r="H49" s="8">
        <v>1.95</v>
      </c>
      <c r="I49" s="12">
        <v>0</v>
      </c>
    </row>
    <row r="52" spans="2:9" ht="33" customHeight="1" x14ac:dyDescent="0.15">
      <c r="B52" t="s">
        <v>232</v>
      </c>
      <c r="C52" s="10" t="s">
        <v>78</v>
      </c>
      <c r="D52" s="10" t="s">
        <v>79</v>
      </c>
      <c r="E52" s="10" t="s">
        <v>80</v>
      </c>
      <c r="F52" s="10" t="s">
        <v>81</v>
      </c>
      <c r="G52" s="10" t="s">
        <v>82</v>
      </c>
      <c r="H52" s="10" t="s">
        <v>83</v>
      </c>
      <c r="I52" s="10" t="s">
        <v>84</v>
      </c>
    </row>
    <row r="53" spans="2:9" ht="15" customHeight="1" x14ac:dyDescent="0.15">
      <c r="B53" t="s">
        <v>148</v>
      </c>
      <c r="C53" s="12">
        <v>33</v>
      </c>
      <c r="D53" s="8">
        <v>3.39</v>
      </c>
      <c r="E53" s="12">
        <v>22</v>
      </c>
      <c r="F53" s="8">
        <v>4.76</v>
      </c>
      <c r="G53" s="12">
        <v>11</v>
      </c>
      <c r="H53" s="8">
        <v>2.15</v>
      </c>
      <c r="I53" s="12">
        <v>0</v>
      </c>
    </row>
    <row r="54" spans="2:9" ht="15" customHeight="1" x14ac:dyDescent="0.15">
      <c r="B54" t="s">
        <v>151</v>
      </c>
      <c r="C54" s="12">
        <v>33</v>
      </c>
      <c r="D54" s="8">
        <v>3.39</v>
      </c>
      <c r="E54" s="12">
        <v>31</v>
      </c>
      <c r="F54" s="8">
        <v>6.71</v>
      </c>
      <c r="G54" s="12">
        <v>2</v>
      </c>
      <c r="H54" s="8">
        <v>0.39</v>
      </c>
      <c r="I54" s="12">
        <v>0</v>
      </c>
    </row>
    <row r="55" spans="2:9" ht="15" customHeight="1" x14ac:dyDescent="0.15">
      <c r="B55" t="s">
        <v>155</v>
      </c>
      <c r="C55" s="12">
        <v>33</v>
      </c>
      <c r="D55" s="8">
        <v>3.39</v>
      </c>
      <c r="E55" s="12">
        <v>31</v>
      </c>
      <c r="F55" s="8">
        <v>6.71</v>
      </c>
      <c r="G55" s="12">
        <v>2</v>
      </c>
      <c r="H55" s="8">
        <v>0.39</v>
      </c>
      <c r="I55" s="12">
        <v>0</v>
      </c>
    </row>
    <row r="56" spans="2:9" ht="15" customHeight="1" x14ac:dyDescent="0.15">
      <c r="B56" t="s">
        <v>138</v>
      </c>
      <c r="C56" s="12">
        <v>29</v>
      </c>
      <c r="D56" s="8">
        <v>2.98</v>
      </c>
      <c r="E56" s="12">
        <v>6</v>
      </c>
      <c r="F56" s="8">
        <v>1.3</v>
      </c>
      <c r="G56" s="12">
        <v>23</v>
      </c>
      <c r="H56" s="8">
        <v>4.49</v>
      </c>
      <c r="I56" s="12">
        <v>0</v>
      </c>
    </row>
    <row r="57" spans="2:9" ht="15" customHeight="1" x14ac:dyDescent="0.15">
      <c r="B57" t="s">
        <v>174</v>
      </c>
      <c r="C57" s="12">
        <v>27</v>
      </c>
      <c r="D57" s="8">
        <v>2.77</v>
      </c>
      <c r="E57" s="12">
        <v>12</v>
      </c>
      <c r="F57" s="8">
        <v>2.6</v>
      </c>
      <c r="G57" s="12">
        <v>15</v>
      </c>
      <c r="H57" s="8">
        <v>2.93</v>
      </c>
      <c r="I57" s="12">
        <v>0</v>
      </c>
    </row>
    <row r="58" spans="2:9" ht="15" customHeight="1" x14ac:dyDescent="0.15">
      <c r="B58" t="s">
        <v>140</v>
      </c>
      <c r="C58" s="12">
        <v>27</v>
      </c>
      <c r="D58" s="8">
        <v>2.77</v>
      </c>
      <c r="E58" s="12">
        <v>1</v>
      </c>
      <c r="F58" s="8">
        <v>0.22</v>
      </c>
      <c r="G58" s="12">
        <v>26</v>
      </c>
      <c r="H58" s="8">
        <v>5.08</v>
      </c>
      <c r="I58" s="12">
        <v>0</v>
      </c>
    </row>
    <row r="59" spans="2:9" ht="15" customHeight="1" x14ac:dyDescent="0.15">
      <c r="B59" t="s">
        <v>154</v>
      </c>
      <c r="C59" s="12">
        <v>25</v>
      </c>
      <c r="D59" s="8">
        <v>2.57</v>
      </c>
      <c r="E59" s="12">
        <v>24</v>
      </c>
      <c r="F59" s="8">
        <v>5.19</v>
      </c>
      <c r="G59" s="12">
        <v>1</v>
      </c>
      <c r="H59" s="8">
        <v>0.2</v>
      </c>
      <c r="I59" s="12">
        <v>0</v>
      </c>
    </row>
    <row r="60" spans="2:9" ht="15" customHeight="1" x14ac:dyDescent="0.15">
      <c r="B60" t="s">
        <v>150</v>
      </c>
      <c r="C60" s="12">
        <v>24</v>
      </c>
      <c r="D60" s="8">
        <v>2.46</v>
      </c>
      <c r="E60" s="12">
        <v>22</v>
      </c>
      <c r="F60" s="8">
        <v>4.76</v>
      </c>
      <c r="G60" s="12">
        <v>2</v>
      </c>
      <c r="H60" s="8">
        <v>0.39</v>
      </c>
      <c r="I60" s="12">
        <v>0</v>
      </c>
    </row>
    <row r="61" spans="2:9" ht="15" customHeight="1" x14ac:dyDescent="0.15">
      <c r="B61" t="s">
        <v>210</v>
      </c>
      <c r="C61" s="12">
        <v>23</v>
      </c>
      <c r="D61" s="8">
        <v>2.36</v>
      </c>
      <c r="E61" s="12">
        <v>17</v>
      </c>
      <c r="F61" s="8">
        <v>3.68</v>
      </c>
      <c r="G61" s="12">
        <v>6</v>
      </c>
      <c r="H61" s="8">
        <v>1.17</v>
      </c>
      <c r="I61" s="12">
        <v>0</v>
      </c>
    </row>
    <row r="62" spans="2:9" ht="15" customHeight="1" x14ac:dyDescent="0.15">
      <c r="B62" t="s">
        <v>144</v>
      </c>
      <c r="C62" s="12">
        <v>23</v>
      </c>
      <c r="D62" s="8">
        <v>2.36</v>
      </c>
      <c r="E62" s="12">
        <v>11</v>
      </c>
      <c r="F62" s="8">
        <v>2.38</v>
      </c>
      <c r="G62" s="12">
        <v>12</v>
      </c>
      <c r="H62" s="8">
        <v>2.34</v>
      </c>
      <c r="I62" s="12">
        <v>0</v>
      </c>
    </row>
    <row r="63" spans="2:9" ht="15" customHeight="1" x14ac:dyDescent="0.15">
      <c r="B63" t="s">
        <v>139</v>
      </c>
      <c r="C63" s="12">
        <v>21</v>
      </c>
      <c r="D63" s="8">
        <v>2.16</v>
      </c>
      <c r="E63" s="12">
        <v>6</v>
      </c>
      <c r="F63" s="8">
        <v>1.3</v>
      </c>
      <c r="G63" s="12">
        <v>15</v>
      </c>
      <c r="H63" s="8">
        <v>2.93</v>
      </c>
      <c r="I63" s="12">
        <v>0</v>
      </c>
    </row>
    <row r="64" spans="2:9" ht="15" customHeight="1" x14ac:dyDescent="0.15">
      <c r="B64" t="s">
        <v>141</v>
      </c>
      <c r="C64" s="12">
        <v>20</v>
      </c>
      <c r="D64" s="8">
        <v>2.0499999999999998</v>
      </c>
      <c r="E64" s="12">
        <v>5</v>
      </c>
      <c r="F64" s="8">
        <v>1.08</v>
      </c>
      <c r="G64" s="12">
        <v>15</v>
      </c>
      <c r="H64" s="8">
        <v>2.93</v>
      </c>
      <c r="I64" s="12">
        <v>0</v>
      </c>
    </row>
    <row r="65" spans="2:9" ht="15" customHeight="1" x14ac:dyDescent="0.15">
      <c r="B65" t="s">
        <v>179</v>
      </c>
      <c r="C65" s="12">
        <v>19</v>
      </c>
      <c r="D65" s="8">
        <v>1.95</v>
      </c>
      <c r="E65" s="12">
        <v>14</v>
      </c>
      <c r="F65" s="8">
        <v>3.03</v>
      </c>
      <c r="G65" s="12">
        <v>5</v>
      </c>
      <c r="H65" s="8">
        <v>0.98</v>
      </c>
      <c r="I65" s="12">
        <v>0</v>
      </c>
    </row>
    <row r="66" spans="2:9" ht="15" customHeight="1" x14ac:dyDescent="0.15">
      <c r="B66" t="s">
        <v>145</v>
      </c>
      <c r="C66" s="12">
        <v>19</v>
      </c>
      <c r="D66" s="8">
        <v>1.95</v>
      </c>
      <c r="E66" s="12">
        <v>10</v>
      </c>
      <c r="F66" s="8">
        <v>2.16</v>
      </c>
      <c r="G66" s="12">
        <v>9</v>
      </c>
      <c r="H66" s="8">
        <v>1.76</v>
      </c>
      <c r="I66" s="12">
        <v>0</v>
      </c>
    </row>
    <row r="67" spans="2:9" ht="15" customHeight="1" x14ac:dyDescent="0.15">
      <c r="B67" t="s">
        <v>156</v>
      </c>
      <c r="C67" s="12">
        <v>19</v>
      </c>
      <c r="D67" s="8">
        <v>1.95</v>
      </c>
      <c r="E67" s="12">
        <v>14</v>
      </c>
      <c r="F67" s="8">
        <v>3.03</v>
      </c>
      <c r="G67" s="12">
        <v>5</v>
      </c>
      <c r="H67" s="8">
        <v>0.98</v>
      </c>
      <c r="I67" s="12">
        <v>0</v>
      </c>
    </row>
    <row r="68" spans="2:9" ht="15" customHeight="1" x14ac:dyDescent="0.15">
      <c r="B68" t="s">
        <v>176</v>
      </c>
      <c r="C68" s="12">
        <v>18</v>
      </c>
      <c r="D68" s="8">
        <v>1.85</v>
      </c>
      <c r="E68" s="12">
        <v>4</v>
      </c>
      <c r="F68" s="8">
        <v>0.87</v>
      </c>
      <c r="G68" s="12">
        <v>14</v>
      </c>
      <c r="H68" s="8">
        <v>2.73</v>
      </c>
      <c r="I68" s="12">
        <v>0</v>
      </c>
    </row>
    <row r="69" spans="2:9" ht="15" customHeight="1" x14ac:dyDescent="0.15">
      <c r="B69" t="s">
        <v>152</v>
      </c>
      <c r="C69" s="12">
        <v>18</v>
      </c>
      <c r="D69" s="8">
        <v>1.85</v>
      </c>
      <c r="E69" s="12">
        <v>16</v>
      </c>
      <c r="F69" s="8">
        <v>3.46</v>
      </c>
      <c r="G69" s="12">
        <v>2</v>
      </c>
      <c r="H69" s="8">
        <v>0.39</v>
      </c>
      <c r="I69" s="12">
        <v>0</v>
      </c>
    </row>
    <row r="70" spans="2:9" ht="15" customHeight="1" x14ac:dyDescent="0.15">
      <c r="B70" t="s">
        <v>147</v>
      </c>
      <c r="C70" s="12">
        <v>16</v>
      </c>
      <c r="D70" s="8">
        <v>1.64</v>
      </c>
      <c r="E70" s="12">
        <v>3</v>
      </c>
      <c r="F70" s="8">
        <v>0.65</v>
      </c>
      <c r="G70" s="12">
        <v>13</v>
      </c>
      <c r="H70" s="8">
        <v>2.54</v>
      </c>
      <c r="I70" s="12">
        <v>0</v>
      </c>
    </row>
    <row r="71" spans="2:9" ht="15" customHeight="1" x14ac:dyDescent="0.15">
      <c r="B71" t="s">
        <v>181</v>
      </c>
      <c r="C71" s="12">
        <v>16</v>
      </c>
      <c r="D71" s="8">
        <v>1.64</v>
      </c>
      <c r="E71" s="12">
        <v>8</v>
      </c>
      <c r="F71" s="8">
        <v>1.73</v>
      </c>
      <c r="G71" s="12">
        <v>8</v>
      </c>
      <c r="H71" s="8">
        <v>1.56</v>
      </c>
      <c r="I71" s="12">
        <v>0</v>
      </c>
    </row>
    <row r="72" spans="2:9" ht="15" customHeight="1" x14ac:dyDescent="0.15">
      <c r="B72" t="s">
        <v>143</v>
      </c>
      <c r="C72" s="12">
        <v>15</v>
      </c>
      <c r="D72" s="8">
        <v>1.54</v>
      </c>
      <c r="E72" s="12">
        <v>9</v>
      </c>
      <c r="F72" s="8">
        <v>1.95</v>
      </c>
      <c r="G72" s="12">
        <v>6</v>
      </c>
      <c r="H72" s="8">
        <v>1.17</v>
      </c>
      <c r="I72" s="12">
        <v>0</v>
      </c>
    </row>
    <row r="74" spans="2:9" ht="15" customHeight="1" x14ac:dyDescent="0.15">
      <c r="B74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433</v>
      </c>
    </row>
    <row r="4" spans="2:9" ht="33" customHeight="1" x14ac:dyDescent="0.15">
      <c r="B4" t="s">
        <v>215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15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63</v>
      </c>
      <c r="C6" s="12">
        <v>17</v>
      </c>
      <c r="D6" s="8">
        <v>20.239999999999998</v>
      </c>
      <c r="E6" s="12">
        <v>5</v>
      </c>
      <c r="F6" s="8">
        <v>12.2</v>
      </c>
      <c r="G6" s="12">
        <v>12</v>
      </c>
      <c r="H6" s="8">
        <v>28.57</v>
      </c>
      <c r="I6" s="12">
        <v>0</v>
      </c>
    </row>
    <row r="7" spans="2:9" ht="15" customHeight="1" x14ac:dyDescent="0.15">
      <c r="B7" t="s">
        <v>64</v>
      </c>
      <c r="C7" s="12">
        <v>10</v>
      </c>
      <c r="D7" s="8">
        <v>11.9</v>
      </c>
      <c r="E7" s="12">
        <v>3</v>
      </c>
      <c r="F7" s="8">
        <v>7.32</v>
      </c>
      <c r="G7" s="12">
        <v>7</v>
      </c>
      <c r="H7" s="8">
        <v>16.670000000000002</v>
      </c>
      <c r="I7" s="12">
        <v>0</v>
      </c>
    </row>
    <row r="8" spans="2:9" ht="15" customHeight="1" x14ac:dyDescent="0.15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66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67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68</v>
      </c>
      <c r="C11" s="12">
        <v>17</v>
      </c>
      <c r="D11" s="8">
        <v>20.239999999999998</v>
      </c>
      <c r="E11" s="12">
        <v>10</v>
      </c>
      <c r="F11" s="8">
        <v>24.39</v>
      </c>
      <c r="G11" s="12">
        <v>7</v>
      </c>
      <c r="H11" s="8">
        <v>16.670000000000002</v>
      </c>
      <c r="I11" s="12">
        <v>0</v>
      </c>
    </row>
    <row r="12" spans="2:9" ht="15" customHeight="1" x14ac:dyDescent="0.15">
      <c r="B12" t="s">
        <v>69</v>
      </c>
      <c r="C12" s="12">
        <v>1</v>
      </c>
      <c r="D12" s="8">
        <v>1.19</v>
      </c>
      <c r="E12" s="12">
        <v>0</v>
      </c>
      <c r="F12" s="8">
        <v>0</v>
      </c>
      <c r="G12" s="12">
        <v>1</v>
      </c>
      <c r="H12" s="8">
        <v>2.38</v>
      </c>
      <c r="I12" s="12">
        <v>0</v>
      </c>
    </row>
    <row r="13" spans="2:9" ht="15" customHeight="1" x14ac:dyDescent="0.15">
      <c r="B13" t="s">
        <v>70</v>
      </c>
      <c r="C13" s="12">
        <v>4</v>
      </c>
      <c r="D13" s="8">
        <v>4.76</v>
      </c>
      <c r="E13" s="12">
        <v>0</v>
      </c>
      <c r="F13" s="8">
        <v>0</v>
      </c>
      <c r="G13" s="12">
        <v>4</v>
      </c>
      <c r="H13" s="8">
        <v>9.52</v>
      </c>
      <c r="I13" s="12">
        <v>0</v>
      </c>
    </row>
    <row r="14" spans="2:9" ht="15" customHeight="1" x14ac:dyDescent="0.15">
      <c r="B14" t="s">
        <v>71</v>
      </c>
      <c r="C14" s="12">
        <v>1</v>
      </c>
      <c r="D14" s="8">
        <v>1.19</v>
      </c>
      <c r="E14" s="12">
        <v>0</v>
      </c>
      <c r="F14" s="8">
        <v>0</v>
      </c>
      <c r="G14" s="12">
        <v>1</v>
      </c>
      <c r="H14" s="8">
        <v>2.38</v>
      </c>
      <c r="I14" s="12">
        <v>0</v>
      </c>
    </row>
    <row r="15" spans="2:9" ht="15" customHeight="1" x14ac:dyDescent="0.15">
      <c r="B15" t="s">
        <v>72</v>
      </c>
      <c r="C15" s="12">
        <v>13</v>
      </c>
      <c r="D15" s="8">
        <v>15.48</v>
      </c>
      <c r="E15" s="12">
        <v>10</v>
      </c>
      <c r="F15" s="8">
        <v>24.39</v>
      </c>
      <c r="G15" s="12">
        <v>3</v>
      </c>
      <c r="H15" s="8">
        <v>7.14</v>
      </c>
      <c r="I15" s="12">
        <v>0</v>
      </c>
    </row>
    <row r="16" spans="2:9" ht="15" customHeight="1" x14ac:dyDescent="0.15">
      <c r="B16" t="s">
        <v>73</v>
      </c>
      <c r="C16" s="12">
        <v>7</v>
      </c>
      <c r="D16" s="8">
        <v>8.33</v>
      </c>
      <c r="E16" s="12">
        <v>5</v>
      </c>
      <c r="F16" s="8">
        <v>12.2</v>
      </c>
      <c r="G16" s="12">
        <v>2</v>
      </c>
      <c r="H16" s="8">
        <v>4.76</v>
      </c>
      <c r="I16" s="12">
        <v>0</v>
      </c>
    </row>
    <row r="17" spans="2:9" ht="15" customHeight="1" x14ac:dyDescent="0.15">
      <c r="B17" t="s">
        <v>74</v>
      </c>
      <c r="C17" s="12">
        <v>4</v>
      </c>
      <c r="D17" s="8">
        <v>4.76</v>
      </c>
      <c r="E17" s="12">
        <v>3</v>
      </c>
      <c r="F17" s="8">
        <v>7.32</v>
      </c>
      <c r="G17" s="12">
        <v>1</v>
      </c>
      <c r="H17" s="8">
        <v>2.38</v>
      </c>
      <c r="I17" s="12">
        <v>0</v>
      </c>
    </row>
    <row r="18" spans="2:9" ht="15" customHeight="1" x14ac:dyDescent="0.15">
      <c r="B18" t="s">
        <v>75</v>
      </c>
      <c r="C18" s="12">
        <v>5</v>
      </c>
      <c r="D18" s="8">
        <v>5.95</v>
      </c>
      <c r="E18" s="12">
        <v>4</v>
      </c>
      <c r="F18" s="8">
        <v>9.76</v>
      </c>
      <c r="G18" s="12">
        <v>1</v>
      </c>
      <c r="H18" s="8">
        <v>2.38</v>
      </c>
      <c r="I18" s="12">
        <v>0</v>
      </c>
    </row>
    <row r="19" spans="2:9" ht="15" customHeight="1" x14ac:dyDescent="0.15">
      <c r="B19" t="s">
        <v>76</v>
      </c>
      <c r="C19" s="12">
        <v>5</v>
      </c>
      <c r="D19" s="8">
        <v>5.95</v>
      </c>
      <c r="E19" s="12">
        <v>1</v>
      </c>
      <c r="F19" s="8">
        <v>2.44</v>
      </c>
      <c r="G19" s="12">
        <v>3</v>
      </c>
      <c r="H19" s="8">
        <v>7.14</v>
      </c>
      <c r="I19" s="12">
        <v>1</v>
      </c>
    </row>
    <row r="20" spans="2:9" ht="15" customHeight="1" x14ac:dyDescent="0.15">
      <c r="B20" s="9" t="s">
        <v>216</v>
      </c>
      <c r="C20" s="12">
        <f>SUM(LTBL_14402[総数／事業所数])</f>
        <v>84</v>
      </c>
      <c r="E20" s="12">
        <f>SUBTOTAL(109,LTBL_14402[個人／事業所数])</f>
        <v>41</v>
      </c>
      <c r="G20" s="12">
        <f>SUBTOTAL(109,LTBL_14402[法人／事業所数])</f>
        <v>42</v>
      </c>
      <c r="I20" s="12">
        <f>SUBTOTAL(109,LTBL_14402[法人以外の団体／事業所数])</f>
        <v>1</v>
      </c>
    </row>
    <row r="21" spans="2:9" ht="15" customHeight="1" x14ac:dyDescent="0.15">
      <c r="E21" s="11">
        <f>LTBL_14402[[#Totals],[個人／事業所数]]/LTBL_14402[[#Totals],[総数／事業所数]]</f>
        <v>0.48809523809523808</v>
      </c>
      <c r="G21" s="11">
        <f>LTBL_14402[[#Totals],[法人／事業所数]]/LTBL_14402[[#Totals],[総数／事業所数]]</f>
        <v>0.5</v>
      </c>
      <c r="I21" s="11">
        <f>LTBL_14402[[#Totals],[法人以外の団体／事業所数]]/LTBL_14402[[#Totals],[総数／事業所数]]</f>
        <v>1.1904761904761904E-2</v>
      </c>
    </row>
    <row r="23" spans="2:9" ht="33" customHeight="1" x14ac:dyDescent="0.15">
      <c r="B23" t="s">
        <v>215</v>
      </c>
      <c r="C23" s="10" t="s">
        <v>78</v>
      </c>
      <c r="D23" s="10" t="s">
        <v>434</v>
      </c>
      <c r="E23" s="10" t="s">
        <v>80</v>
      </c>
      <c r="F23" s="10" t="s">
        <v>435</v>
      </c>
      <c r="G23" s="10" t="s">
        <v>82</v>
      </c>
      <c r="H23" s="10" t="s">
        <v>243</v>
      </c>
      <c r="I23" s="10" t="s">
        <v>84</v>
      </c>
    </row>
    <row r="24" spans="2:9" ht="15" customHeight="1" x14ac:dyDescent="0.15">
      <c r="B24" t="s">
        <v>218</v>
      </c>
      <c r="C24">
        <v>6</v>
      </c>
      <c r="D24" t="s">
        <v>217</v>
      </c>
      <c r="E24">
        <v>0</v>
      </c>
      <c r="F24" t="s">
        <v>219</v>
      </c>
      <c r="G24">
        <v>6</v>
      </c>
      <c r="H24" t="s">
        <v>220</v>
      </c>
      <c r="I24">
        <v>0</v>
      </c>
    </row>
    <row r="25" spans="2:9" ht="15" customHeight="1" x14ac:dyDescent="0.15">
      <c r="B25" t="s">
        <v>221</v>
      </c>
      <c r="C25">
        <v>0</v>
      </c>
      <c r="D25" t="s">
        <v>217</v>
      </c>
      <c r="E25">
        <v>0</v>
      </c>
      <c r="F25" t="s">
        <v>219</v>
      </c>
      <c r="G25">
        <v>0</v>
      </c>
      <c r="H25" t="s">
        <v>220</v>
      </c>
      <c r="I25">
        <v>0</v>
      </c>
    </row>
    <row r="28" spans="2:9" ht="33" customHeight="1" x14ac:dyDescent="0.15">
      <c r="B28" t="s">
        <v>253</v>
      </c>
      <c r="C28" s="10" t="s">
        <v>78</v>
      </c>
      <c r="D28" s="10" t="s">
        <v>79</v>
      </c>
      <c r="E28" s="10" t="s">
        <v>80</v>
      </c>
      <c r="F28" s="10" t="s">
        <v>81</v>
      </c>
      <c r="G28" s="10" t="s">
        <v>82</v>
      </c>
      <c r="H28" s="10" t="s">
        <v>83</v>
      </c>
      <c r="I28" s="10" t="s">
        <v>84</v>
      </c>
    </row>
    <row r="29" spans="2:9" ht="15" customHeight="1" x14ac:dyDescent="0.15">
      <c r="B29" t="s">
        <v>99</v>
      </c>
      <c r="C29" s="12">
        <v>11</v>
      </c>
      <c r="D29" s="8">
        <v>13.1</v>
      </c>
      <c r="E29" s="12">
        <v>8</v>
      </c>
      <c r="F29" s="8">
        <v>19.510000000000002</v>
      </c>
      <c r="G29" s="12">
        <v>3</v>
      </c>
      <c r="H29" s="8">
        <v>7.14</v>
      </c>
      <c r="I29" s="12">
        <v>0</v>
      </c>
    </row>
    <row r="30" spans="2:9" ht="15" customHeight="1" x14ac:dyDescent="0.15">
      <c r="B30" t="s">
        <v>85</v>
      </c>
      <c r="C30" s="12">
        <v>10</v>
      </c>
      <c r="D30" s="8">
        <v>11.9</v>
      </c>
      <c r="E30" s="12">
        <v>2</v>
      </c>
      <c r="F30" s="8">
        <v>4.88</v>
      </c>
      <c r="G30" s="12">
        <v>8</v>
      </c>
      <c r="H30" s="8">
        <v>19.05</v>
      </c>
      <c r="I30" s="12">
        <v>0</v>
      </c>
    </row>
    <row r="31" spans="2:9" ht="15" customHeight="1" x14ac:dyDescent="0.15">
      <c r="B31" t="s">
        <v>94</v>
      </c>
      <c r="C31" s="12">
        <v>10</v>
      </c>
      <c r="D31" s="8">
        <v>11.9</v>
      </c>
      <c r="E31" s="12">
        <v>7</v>
      </c>
      <c r="F31" s="8">
        <v>17.07</v>
      </c>
      <c r="G31" s="12">
        <v>3</v>
      </c>
      <c r="H31" s="8">
        <v>7.14</v>
      </c>
      <c r="I31" s="12">
        <v>0</v>
      </c>
    </row>
    <row r="32" spans="2:9" ht="15" customHeight="1" x14ac:dyDescent="0.15">
      <c r="B32" t="s">
        <v>100</v>
      </c>
      <c r="C32" s="12">
        <v>5</v>
      </c>
      <c r="D32" s="8">
        <v>5.95</v>
      </c>
      <c r="E32" s="12">
        <v>4</v>
      </c>
      <c r="F32" s="8">
        <v>9.76</v>
      </c>
      <c r="G32" s="12">
        <v>1</v>
      </c>
      <c r="H32" s="8">
        <v>2.38</v>
      </c>
      <c r="I32" s="12">
        <v>0</v>
      </c>
    </row>
    <row r="33" spans="2:9" ht="15" customHeight="1" x14ac:dyDescent="0.15">
      <c r="B33" t="s">
        <v>87</v>
      </c>
      <c r="C33" s="12">
        <v>4</v>
      </c>
      <c r="D33" s="8">
        <v>4.76</v>
      </c>
      <c r="E33" s="12">
        <v>1</v>
      </c>
      <c r="F33" s="8">
        <v>2.44</v>
      </c>
      <c r="G33" s="12">
        <v>3</v>
      </c>
      <c r="H33" s="8">
        <v>7.14</v>
      </c>
      <c r="I33" s="12">
        <v>0</v>
      </c>
    </row>
    <row r="34" spans="2:9" ht="15" customHeight="1" x14ac:dyDescent="0.15">
      <c r="B34" t="s">
        <v>102</v>
      </c>
      <c r="C34" s="12">
        <v>4</v>
      </c>
      <c r="D34" s="8">
        <v>4.76</v>
      </c>
      <c r="E34" s="12">
        <v>3</v>
      </c>
      <c r="F34" s="8">
        <v>7.32</v>
      </c>
      <c r="G34" s="12">
        <v>1</v>
      </c>
      <c r="H34" s="8">
        <v>2.38</v>
      </c>
      <c r="I34" s="12">
        <v>0</v>
      </c>
    </row>
    <row r="35" spans="2:9" ht="15" customHeight="1" x14ac:dyDescent="0.15">
      <c r="B35" t="s">
        <v>103</v>
      </c>
      <c r="C35" s="12">
        <v>4</v>
      </c>
      <c r="D35" s="8">
        <v>4.76</v>
      </c>
      <c r="E35" s="12">
        <v>4</v>
      </c>
      <c r="F35" s="8">
        <v>9.76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86</v>
      </c>
      <c r="C36" s="12">
        <v>3</v>
      </c>
      <c r="D36" s="8">
        <v>3.57</v>
      </c>
      <c r="E36" s="12">
        <v>2</v>
      </c>
      <c r="F36" s="8">
        <v>4.88</v>
      </c>
      <c r="G36" s="12">
        <v>1</v>
      </c>
      <c r="H36" s="8">
        <v>2.38</v>
      </c>
      <c r="I36" s="12">
        <v>0</v>
      </c>
    </row>
    <row r="37" spans="2:9" ht="15" customHeight="1" x14ac:dyDescent="0.15">
      <c r="B37" t="s">
        <v>88</v>
      </c>
      <c r="C37" s="12">
        <v>3</v>
      </c>
      <c r="D37" s="8">
        <v>3.57</v>
      </c>
      <c r="E37" s="12">
        <v>3</v>
      </c>
      <c r="F37" s="8">
        <v>7.32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92</v>
      </c>
      <c r="C38" s="12">
        <v>3</v>
      </c>
      <c r="D38" s="8">
        <v>3.57</v>
      </c>
      <c r="E38" s="12">
        <v>2</v>
      </c>
      <c r="F38" s="8">
        <v>4.88</v>
      </c>
      <c r="G38" s="12">
        <v>1</v>
      </c>
      <c r="H38" s="8">
        <v>2.38</v>
      </c>
      <c r="I38" s="12">
        <v>0</v>
      </c>
    </row>
    <row r="39" spans="2:9" ht="15" customHeight="1" x14ac:dyDescent="0.15">
      <c r="B39" t="s">
        <v>96</v>
      </c>
      <c r="C39" s="12">
        <v>3</v>
      </c>
      <c r="D39" s="8">
        <v>3.57</v>
      </c>
      <c r="E39" s="12">
        <v>0</v>
      </c>
      <c r="F39" s="8">
        <v>0</v>
      </c>
      <c r="G39" s="12">
        <v>3</v>
      </c>
      <c r="H39" s="8">
        <v>7.14</v>
      </c>
      <c r="I39" s="12">
        <v>0</v>
      </c>
    </row>
    <row r="40" spans="2:9" ht="15" customHeight="1" x14ac:dyDescent="0.15">
      <c r="B40" t="s">
        <v>121</v>
      </c>
      <c r="C40" s="12">
        <v>2</v>
      </c>
      <c r="D40" s="8">
        <v>2.38</v>
      </c>
      <c r="E40" s="12">
        <v>0</v>
      </c>
      <c r="F40" s="8">
        <v>0</v>
      </c>
      <c r="G40" s="12">
        <v>2</v>
      </c>
      <c r="H40" s="8">
        <v>4.76</v>
      </c>
      <c r="I40" s="12">
        <v>0</v>
      </c>
    </row>
    <row r="41" spans="2:9" ht="15" customHeight="1" x14ac:dyDescent="0.15">
      <c r="B41" t="s">
        <v>127</v>
      </c>
      <c r="C41" s="12">
        <v>2</v>
      </c>
      <c r="D41" s="8">
        <v>2.38</v>
      </c>
      <c r="E41" s="12">
        <v>0</v>
      </c>
      <c r="F41" s="8">
        <v>0</v>
      </c>
      <c r="G41" s="12">
        <v>2</v>
      </c>
      <c r="H41" s="8">
        <v>4.76</v>
      </c>
      <c r="I41" s="12">
        <v>0</v>
      </c>
    </row>
    <row r="42" spans="2:9" ht="15" customHeight="1" x14ac:dyDescent="0.15">
      <c r="B42" t="s">
        <v>91</v>
      </c>
      <c r="C42" s="12">
        <v>2</v>
      </c>
      <c r="D42" s="8">
        <v>2.38</v>
      </c>
      <c r="E42" s="12">
        <v>1</v>
      </c>
      <c r="F42" s="8">
        <v>2.44</v>
      </c>
      <c r="G42" s="12">
        <v>1</v>
      </c>
      <c r="H42" s="8">
        <v>2.38</v>
      </c>
      <c r="I42" s="12">
        <v>0</v>
      </c>
    </row>
    <row r="43" spans="2:9" ht="15" customHeight="1" x14ac:dyDescent="0.15">
      <c r="B43" t="s">
        <v>111</v>
      </c>
      <c r="C43" s="12">
        <v>2</v>
      </c>
      <c r="D43" s="8">
        <v>2.38</v>
      </c>
      <c r="E43" s="12">
        <v>2</v>
      </c>
      <c r="F43" s="8">
        <v>4.88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116</v>
      </c>
      <c r="C44" s="12">
        <v>2</v>
      </c>
      <c r="D44" s="8">
        <v>2.38</v>
      </c>
      <c r="E44" s="12">
        <v>1</v>
      </c>
      <c r="F44" s="8">
        <v>2.44</v>
      </c>
      <c r="G44" s="12">
        <v>1</v>
      </c>
      <c r="H44" s="8">
        <v>2.38</v>
      </c>
      <c r="I44" s="12">
        <v>0</v>
      </c>
    </row>
    <row r="45" spans="2:9" ht="15" customHeight="1" x14ac:dyDescent="0.15">
      <c r="B45" t="s">
        <v>117</v>
      </c>
      <c r="C45" s="12">
        <v>2</v>
      </c>
      <c r="D45" s="8">
        <v>2.38</v>
      </c>
      <c r="E45" s="12">
        <v>1</v>
      </c>
      <c r="F45" s="8">
        <v>2.44</v>
      </c>
      <c r="G45" s="12">
        <v>1</v>
      </c>
      <c r="H45" s="8">
        <v>2.38</v>
      </c>
      <c r="I45" s="12">
        <v>0</v>
      </c>
    </row>
    <row r="46" spans="2:9" ht="15" customHeight="1" x14ac:dyDescent="0.15">
      <c r="B46" t="s">
        <v>124</v>
      </c>
      <c r="C46" s="12">
        <v>1</v>
      </c>
      <c r="D46" s="8">
        <v>1.19</v>
      </c>
      <c r="E46" s="12">
        <v>0</v>
      </c>
      <c r="F46" s="8">
        <v>0</v>
      </c>
      <c r="G46" s="12">
        <v>1</v>
      </c>
      <c r="H46" s="8">
        <v>2.38</v>
      </c>
      <c r="I46" s="12">
        <v>0</v>
      </c>
    </row>
    <row r="47" spans="2:9" ht="15" customHeight="1" x14ac:dyDescent="0.15">
      <c r="B47" t="s">
        <v>89</v>
      </c>
      <c r="C47" s="12">
        <v>1</v>
      </c>
      <c r="D47" s="8">
        <v>1.19</v>
      </c>
      <c r="E47" s="12">
        <v>0</v>
      </c>
      <c r="F47" s="8">
        <v>0</v>
      </c>
      <c r="G47" s="12">
        <v>1</v>
      </c>
      <c r="H47" s="8">
        <v>2.38</v>
      </c>
      <c r="I47" s="12">
        <v>0</v>
      </c>
    </row>
    <row r="48" spans="2:9" ht="15" customHeight="1" x14ac:dyDescent="0.15">
      <c r="B48" t="s">
        <v>120</v>
      </c>
      <c r="C48" s="12">
        <v>1</v>
      </c>
      <c r="D48" s="8">
        <v>1.19</v>
      </c>
      <c r="E48" s="12">
        <v>0</v>
      </c>
      <c r="F48" s="8">
        <v>0</v>
      </c>
      <c r="G48" s="12">
        <v>1</v>
      </c>
      <c r="H48" s="8">
        <v>2.38</v>
      </c>
      <c r="I48" s="12">
        <v>0</v>
      </c>
    </row>
    <row r="49" spans="2:9" ht="15" customHeight="1" x14ac:dyDescent="0.15">
      <c r="B49" t="s">
        <v>106</v>
      </c>
      <c r="C49" s="12">
        <v>1</v>
      </c>
      <c r="D49" s="8">
        <v>1.19</v>
      </c>
      <c r="E49" s="12">
        <v>0</v>
      </c>
      <c r="F49" s="8">
        <v>0</v>
      </c>
      <c r="G49" s="12">
        <v>1</v>
      </c>
      <c r="H49" s="8">
        <v>2.38</v>
      </c>
      <c r="I49" s="12">
        <v>0</v>
      </c>
    </row>
    <row r="50" spans="2:9" ht="15" customHeight="1" x14ac:dyDescent="0.15">
      <c r="B50" t="s">
        <v>93</v>
      </c>
      <c r="C50" s="12">
        <v>1</v>
      </c>
      <c r="D50" s="8">
        <v>1.19</v>
      </c>
      <c r="E50" s="12">
        <v>0</v>
      </c>
      <c r="F50" s="8">
        <v>0</v>
      </c>
      <c r="G50" s="12">
        <v>1</v>
      </c>
      <c r="H50" s="8">
        <v>2.38</v>
      </c>
      <c r="I50" s="12">
        <v>0</v>
      </c>
    </row>
    <row r="51" spans="2:9" ht="15" customHeight="1" x14ac:dyDescent="0.15">
      <c r="B51" t="s">
        <v>115</v>
      </c>
      <c r="C51" s="12">
        <v>1</v>
      </c>
      <c r="D51" s="8">
        <v>1.19</v>
      </c>
      <c r="E51" s="12">
        <v>0</v>
      </c>
      <c r="F51" s="8">
        <v>0</v>
      </c>
      <c r="G51" s="12">
        <v>1</v>
      </c>
      <c r="H51" s="8">
        <v>2.38</v>
      </c>
      <c r="I51" s="12">
        <v>0</v>
      </c>
    </row>
    <row r="52" spans="2:9" ht="15" customHeight="1" x14ac:dyDescent="0.15">
      <c r="B52" t="s">
        <v>95</v>
      </c>
      <c r="C52" s="12">
        <v>1</v>
      </c>
      <c r="D52" s="8">
        <v>1.19</v>
      </c>
      <c r="E52" s="12">
        <v>0</v>
      </c>
      <c r="F52" s="8">
        <v>0</v>
      </c>
      <c r="G52" s="12">
        <v>1</v>
      </c>
      <c r="H52" s="8">
        <v>2.38</v>
      </c>
      <c r="I52" s="12">
        <v>0</v>
      </c>
    </row>
    <row r="53" spans="2:9" ht="15" customHeight="1" x14ac:dyDescent="0.15">
      <c r="B53" t="s">
        <v>98</v>
      </c>
      <c r="C53" s="12">
        <v>1</v>
      </c>
      <c r="D53" s="8">
        <v>1.19</v>
      </c>
      <c r="E53" s="12">
        <v>0</v>
      </c>
      <c r="F53" s="8">
        <v>0</v>
      </c>
      <c r="G53" s="12">
        <v>1</v>
      </c>
      <c r="H53" s="8">
        <v>2.38</v>
      </c>
      <c r="I53" s="12">
        <v>0</v>
      </c>
    </row>
    <row r="54" spans="2:9" ht="15" customHeight="1" x14ac:dyDescent="0.15">
      <c r="B54" t="s">
        <v>108</v>
      </c>
      <c r="C54" s="12">
        <v>1</v>
      </c>
      <c r="D54" s="8">
        <v>1.19</v>
      </c>
      <c r="E54" s="12">
        <v>0</v>
      </c>
      <c r="F54" s="8">
        <v>0</v>
      </c>
      <c r="G54" s="12">
        <v>1</v>
      </c>
      <c r="H54" s="8">
        <v>2.38</v>
      </c>
      <c r="I54" s="12">
        <v>0</v>
      </c>
    </row>
    <row r="55" spans="2:9" ht="15" customHeight="1" x14ac:dyDescent="0.15">
      <c r="B55" t="s">
        <v>134</v>
      </c>
      <c r="C55" s="12">
        <v>1</v>
      </c>
      <c r="D55" s="8">
        <v>1.19</v>
      </c>
      <c r="E55" s="12">
        <v>0</v>
      </c>
      <c r="F55" s="8">
        <v>0</v>
      </c>
      <c r="G55" s="12">
        <v>1</v>
      </c>
      <c r="H55" s="8">
        <v>2.38</v>
      </c>
      <c r="I55" s="12">
        <v>0</v>
      </c>
    </row>
    <row r="56" spans="2:9" ht="15" customHeight="1" x14ac:dyDescent="0.15">
      <c r="B56" t="s">
        <v>135</v>
      </c>
      <c r="C56" s="12">
        <v>1</v>
      </c>
      <c r="D56" s="8">
        <v>1.19</v>
      </c>
      <c r="E56" s="12">
        <v>0</v>
      </c>
      <c r="F56" s="8">
        <v>0</v>
      </c>
      <c r="G56" s="12">
        <v>0</v>
      </c>
      <c r="H56" s="8">
        <v>0</v>
      </c>
      <c r="I56" s="12">
        <v>1</v>
      </c>
    </row>
    <row r="57" spans="2:9" ht="15" customHeight="1" x14ac:dyDescent="0.15">
      <c r="B57" t="s">
        <v>104</v>
      </c>
      <c r="C57" s="12">
        <v>1</v>
      </c>
      <c r="D57" s="8">
        <v>1.19</v>
      </c>
      <c r="E57" s="12">
        <v>0</v>
      </c>
      <c r="F57" s="8">
        <v>0</v>
      </c>
      <c r="G57" s="12">
        <v>1</v>
      </c>
      <c r="H57" s="8">
        <v>2.38</v>
      </c>
      <c r="I57" s="12">
        <v>0</v>
      </c>
    </row>
    <row r="60" spans="2:9" ht="33" customHeight="1" x14ac:dyDescent="0.15">
      <c r="B60" t="s">
        <v>232</v>
      </c>
      <c r="C60" s="10" t="s">
        <v>78</v>
      </c>
      <c r="D60" s="10" t="s">
        <v>79</v>
      </c>
      <c r="E60" s="10" t="s">
        <v>80</v>
      </c>
      <c r="F60" s="10" t="s">
        <v>81</v>
      </c>
      <c r="G60" s="10" t="s">
        <v>82</v>
      </c>
      <c r="H60" s="10" t="s">
        <v>83</v>
      </c>
      <c r="I60" s="10" t="s">
        <v>84</v>
      </c>
    </row>
    <row r="61" spans="2:9" ht="15" customHeight="1" x14ac:dyDescent="0.15">
      <c r="B61" t="s">
        <v>145</v>
      </c>
      <c r="C61" s="12">
        <v>5</v>
      </c>
      <c r="D61" s="8">
        <v>5.95</v>
      </c>
      <c r="E61" s="12">
        <v>3</v>
      </c>
      <c r="F61" s="8">
        <v>7.32</v>
      </c>
      <c r="G61" s="12">
        <v>2</v>
      </c>
      <c r="H61" s="8">
        <v>4.76</v>
      </c>
      <c r="I61" s="12">
        <v>0</v>
      </c>
    </row>
    <row r="62" spans="2:9" ht="15" customHeight="1" x14ac:dyDescent="0.15">
      <c r="B62" t="s">
        <v>183</v>
      </c>
      <c r="C62" s="12">
        <v>5</v>
      </c>
      <c r="D62" s="8">
        <v>5.95</v>
      </c>
      <c r="E62" s="12">
        <v>4</v>
      </c>
      <c r="F62" s="8">
        <v>9.76</v>
      </c>
      <c r="G62" s="12">
        <v>1</v>
      </c>
      <c r="H62" s="8">
        <v>2.38</v>
      </c>
      <c r="I62" s="12">
        <v>0</v>
      </c>
    </row>
    <row r="63" spans="2:9" ht="15" customHeight="1" x14ac:dyDescent="0.15">
      <c r="B63" t="s">
        <v>174</v>
      </c>
      <c r="C63" s="12">
        <v>4</v>
      </c>
      <c r="D63" s="8">
        <v>4.76</v>
      </c>
      <c r="E63" s="12">
        <v>1</v>
      </c>
      <c r="F63" s="8">
        <v>2.44</v>
      </c>
      <c r="G63" s="12">
        <v>3</v>
      </c>
      <c r="H63" s="8">
        <v>7.14</v>
      </c>
      <c r="I63" s="12">
        <v>0</v>
      </c>
    </row>
    <row r="64" spans="2:9" ht="15" customHeight="1" x14ac:dyDescent="0.15">
      <c r="B64" t="s">
        <v>170</v>
      </c>
      <c r="C64" s="12">
        <v>4</v>
      </c>
      <c r="D64" s="8">
        <v>4.76</v>
      </c>
      <c r="E64" s="12">
        <v>3</v>
      </c>
      <c r="F64" s="8">
        <v>7.32</v>
      </c>
      <c r="G64" s="12">
        <v>1</v>
      </c>
      <c r="H64" s="8">
        <v>2.38</v>
      </c>
      <c r="I64" s="12">
        <v>0</v>
      </c>
    </row>
    <row r="65" spans="2:9" ht="15" customHeight="1" x14ac:dyDescent="0.15">
      <c r="B65" t="s">
        <v>156</v>
      </c>
      <c r="C65" s="12">
        <v>4</v>
      </c>
      <c r="D65" s="8">
        <v>4.76</v>
      </c>
      <c r="E65" s="12">
        <v>3</v>
      </c>
      <c r="F65" s="8">
        <v>7.32</v>
      </c>
      <c r="G65" s="12">
        <v>1</v>
      </c>
      <c r="H65" s="8">
        <v>2.38</v>
      </c>
      <c r="I65" s="12">
        <v>0</v>
      </c>
    </row>
    <row r="66" spans="2:9" ht="15" customHeight="1" x14ac:dyDescent="0.15">
      <c r="B66" t="s">
        <v>138</v>
      </c>
      <c r="C66" s="12">
        <v>3</v>
      </c>
      <c r="D66" s="8">
        <v>3.57</v>
      </c>
      <c r="E66" s="12">
        <v>0</v>
      </c>
      <c r="F66" s="8">
        <v>0</v>
      </c>
      <c r="G66" s="12">
        <v>3</v>
      </c>
      <c r="H66" s="8">
        <v>7.14</v>
      </c>
      <c r="I66" s="12">
        <v>0</v>
      </c>
    </row>
    <row r="67" spans="2:9" ht="15" customHeight="1" x14ac:dyDescent="0.15">
      <c r="B67" t="s">
        <v>139</v>
      </c>
      <c r="C67" s="12">
        <v>3</v>
      </c>
      <c r="D67" s="8">
        <v>3.57</v>
      </c>
      <c r="E67" s="12">
        <v>1</v>
      </c>
      <c r="F67" s="8">
        <v>2.44</v>
      </c>
      <c r="G67" s="12">
        <v>2</v>
      </c>
      <c r="H67" s="8">
        <v>4.76</v>
      </c>
      <c r="I67" s="12">
        <v>0</v>
      </c>
    </row>
    <row r="68" spans="2:9" ht="15" customHeight="1" x14ac:dyDescent="0.15">
      <c r="B68" t="s">
        <v>140</v>
      </c>
      <c r="C68" s="12">
        <v>3</v>
      </c>
      <c r="D68" s="8">
        <v>3.57</v>
      </c>
      <c r="E68" s="12">
        <v>0</v>
      </c>
      <c r="F68" s="8">
        <v>0</v>
      </c>
      <c r="G68" s="12">
        <v>3</v>
      </c>
      <c r="H68" s="8">
        <v>7.14</v>
      </c>
      <c r="I68" s="12">
        <v>0</v>
      </c>
    </row>
    <row r="69" spans="2:9" ht="15" customHeight="1" x14ac:dyDescent="0.15">
      <c r="B69" t="s">
        <v>211</v>
      </c>
      <c r="C69" s="12">
        <v>3</v>
      </c>
      <c r="D69" s="8">
        <v>3.57</v>
      </c>
      <c r="E69" s="12">
        <v>3</v>
      </c>
      <c r="F69" s="8">
        <v>7.32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179</v>
      </c>
      <c r="C70" s="12">
        <v>2</v>
      </c>
      <c r="D70" s="8">
        <v>2.38</v>
      </c>
      <c r="E70" s="12">
        <v>1</v>
      </c>
      <c r="F70" s="8">
        <v>2.44</v>
      </c>
      <c r="G70" s="12">
        <v>1</v>
      </c>
      <c r="H70" s="8">
        <v>2.38</v>
      </c>
      <c r="I70" s="12">
        <v>0</v>
      </c>
    </row>
    <row r="71" spans="2:9" ht="15" customHeight="1" x14ac:dyDescent="0.15">
      <c r="B71" t="s">
        <v>166</v>
      </c>
      <c r="C71" s="12">
        <v>2</v>
      </c>
      <c r="D71" s="8">
        <v>2.38</v>
      </c>
      <c r="E71" s="12">
        <v>2</v>
      </c>
      <c r="F71" s="8">
        <v>4.88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192</v>
      </c>
      <c r="C72" s="12">
        <v>2</v>
      </c>
      <c r="D72" s="8">
        <v>2.38</v>
      </c>
      <c r="E72" s="12">
        <v>1</v>
      </c>
      <c r="F72" s="8">
        <v>2.44</v>
      </c>
      <c r="G72" s="12">
        <v>1</v>
      </c>
      <c r="H72" s="8">
        <v>2.38</v>
      </c>
      <c r="I72" s="12">
        <v>0</v>
      </c>
    </row>
    <row r="73" spans="2:9" ht="15" customHeight="1" x14ac:dyDescent="0.15">
      <c r="B73" t="s">
        <v>148</v>
      </c>
      <c r="C73" s="12">
        <v>2</v>
      </c>
      <c r="D73" s="8">
        <v>2.38</v>
      </c>
      <c r="E73" s="12">
        <v>0</v>
      </c>
      <c r="F73" s="8">
        <v>0</v>
      </c>
      <c r="G73" s="12">
        <v>2</v>
      </c>
      <c r="H73" s="8">
        <v>4.76</v>
      </c>
      <c r="I73" s="12">
        <v>0</v>
      </c>
    </row>
    <row r="74" spans="2:9" ht="15" customHeight="1" x14ac:dyDescent="0.15">
      <c r="B74" t="s">
        <v>204</v>
      </c>
      <c r="C74" s="12">
        <v>2</v>
      </c>
      <c r="D74" s="8">
        <v>2.38</v>
      </c>
      <c r="E74" s="12">
        <v>2</v>
      </c>
      <c r="F74" s="8">
        <v>4.88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150</v>
      </c>
      <c r="C75" s="12">
        <v>2</v>
      </c>
      <c r="D75" s="8">
        <v>2.38</v>
      </c>
      <c r="E75" s="12">
        <v>1</v>
      </c>
      <c r="F75" s="8">
        <v>2.44</v>
      </c>
      <c r="G75" s="12">
        <v>1</v>
      </c>
      <c r="H75" s="8">
        <v>2.38</v>
      </c>
      <c r="I75" s="12">
        <v>0</v>
      </c>
    </row>
    <row r="76" spans="2:9" ht="15" customHeight="1" x14ac:dyDescent="0.15">
      <c r="B76" t="s">
        <v>153</v>
      </c>
      <c r="C76" s="12">
        <v>2</v>
      </c>
      <c r="D76" s="8">
        <v>2.38</v>
      </c>
      <c r="E76" s="12">
        <v>1</v>
      </c>
      <c r="F76" s="8">
        <v>2.44</v>
      </c>
      <c r="G76" s="12">
        <v>1</v>
      </c>
      <c r="H76" s="8">
        <v>2.38</v>
      </c>
      <c r="I76" s="12">
        <v>0</v>
      </c>
    </row>
    <row r="77" spans="2:9" ht="15" customHeight="1" x14ac:dyDescent="0.15">
      <c r="B77" t="s">
        <v>188</v>
      </c>
      <c r="C77" s="12">
        <v>2</v>
      </c>
      <c r="D77" s="8">
        <v>2.38</v>
      </c>
      <c r="E77" s="12">
        <v>1</v>
      </c>
      <c r="F77" s="8">
        <v>2.44</v>
      </c>
      <c r="G77" s="12">
        <v>1</v>
      </c>
      <c r="H77" s="8">
        <v>2.38</v>
      </c>
      <c r="I77" s="12">
        <v>0</v>
      </c>
    </row>
    <row r="78" spans="2:9" ht="15" customHeight="1" x14ac:dyDescent="0.15">
      <c r="B78" t="s">
        <v>157</v>
      </c>
      <c r="C78" s="12">
        <v>2</v>
      </c>
      <c r="D78" s="8">
        <v>2.38</v>
      </c>
      <c r="E78" s="12">
        <v>2</v>
      </c>
      <c r="F78" s="8">
        <v>4.88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212</v>
      </c>
      <c r="C79" s="12">
        <v>2</v>
      </c>
      <c r="D79" s="8">
        <v>2.38</v>
      </c>
      <c r="E79" s="12">
        <v>2</v>
      </c>
      <c r="F79" s="8">
        <v>4.88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181</v>
      </c>
      <c r="C80" s="12">
        <v>2</v>
      </c>
      <c r="D80" s="8">
        <v>2.38</v>
      </c>
      <c r="E80" s="12">
        <v>1</v>
      </c>
      <c r="F80" s="8">
        <v>2.44</v>
      </c>
      <c r="G80" s="12">
        <v>1</v>
      </c>
      <c r="H80" s="8">
        <v>2.38</v>
      </c>
      <c r="I80" s="12">
        <v>0</v>
      </c>
    </row>
    <row r="82" spans="2:2" ht="15" customHeight="1" x14ac:dyDescent="0.15">
      <c r="B82" t="s">
        <v>227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3</vt:i4>
      </vt:variant>
    </vt:vector>
  </HeadingPairs>
  <TitlesOfParts>
    <vt:vector size="69" baseType="lpstr">
      <vt:lpstr>目次</vt:lpstr>
      <vt:lpstr>産業大分類</vt:lpstr>
      <vt:lpstr>産業中分類</vt:lpstr>
      <vt:lpstr>産業小分類</vt:lpstr>
      <vt:lpstr>神奈川県</vt:lpstr>
      <vt:lpstr>横浜市</vt:lpstr>
      <vt:lpstr>横浜市鶴見区</vt:lpstr>
      <vt:lpstr>横浜市神奈川区</vt:lpstr>
      <vt:lpstr>横浜市西区</vt:lpstr>
      <vt:lpstr>横浜市中区</vt:lpstr>
      <vt:lpstr>横浜市南区</vt:lpstr>
      <vt:lpstr>横浜市保土ケ谷区</vt:lpstr>
      <vt:lpstr>横浜市磯子区</vt:lpstr>
      <vt:lpstr>横浜市金沢区</vt:lpstr>
      <vt:lpstr>横浜市港北区</vt:lpstr>
      <vt:lpstr>横浜市戸塚区</vt:lpstr>
      <vt:lpstr>横浜市港南区</vt:lpstr>
      <vt:lpstr>横浜市旭区</vt:lpstr>
      <vt:lpstr>横浜市緑区</vt:lpstr>
      <vt:lpstr>横浜市瀬谷区</vt:lpstr>
      <vt:lpstr>横浜市栄区</vt:lpstr>
      <vt:lpstr>横浜市泉区</vt:lpstr>
      <vt:lpstr>横浜市青葉区</vt:lpstr>
      <vt:lpstr>横浜市都筑区</vt:lpstr>
      <vt:lpstr>川崎市</vt:lpstr>
      <vt:lpstr>川崎市川崎区</vt:lpstr>
      <vt:lpstr>川崎市幸区</vt:lpstr>
      <vt:lpstr>川崎市中原区</vt:lpstr>
      <vt:lpstr>川崎市高津区</vt:lpstr>
      <vt:lpstr>川崎市多摩区</vt:lpstr>
      <vt:lpstr>川崎市宮前区</vt:lpstr>
      <vt:lpstr>川崎市麻生区</vt:lpstr>
      <vt:lpstr>相模原市</vt:lpstr>
      <vt:lpstr>相模原市緑区</vt:lpstr>
      <vt:lpstr>相模原市中央区</vt:lpstr>
      <vt:lpstr>相模原市南区</vt:lpstr>
      <vt:lpstr>横須賀市</vt:lpstr>
      <vt:lpstr>平塚市</vt:lpstr>
      <vt:lpstr>鎌倉市</vt:lpstr>
      <vt:lpstr>藤沢市</vt:lpstr>
      <vt:lpstr>小田原市</vt:lpstr>
      <vt:lpstr>茅ヶ崎市</vt:lpstr>
      <vt:lpstr>逗子市</vt:lpstr>
      <vt:lpstr>三浦市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三浦郡葉山町</vt:lpstr>
      <vt:lpstr>高座郡寒川町</vt:lpstr>
      <vt:lpstr>中郡大磯町</vt:lpstr>
      <vt:lpstr>中郡二宮町</vt:lpstr>
      <vt:lpstr>足柄上郡中井町</vt:lpstr>
      <vt:lpstr>足柄上郡大井町</vt:lpstr>
      <vt:lpstr>足柄上郡松田町</vt:lpstr>
      <vt:lpstr>足柄上郡山北町</vt:lpstr>
      <vt:lpstr>足柄上郡開成町</vt:lpstr>
      <vt:lpstr>足柄下郡箱根町</vt:lpstr>
      <vt:lpstr>足柄下郡真鶴町</vt:lpstr>
      <vt:lpstr>足柄下郡湯河原町</vt:lpstr>
      <vt:lpstr>愛甲郡愛川町</vt:lpstr>
      <vt:lpstr>愛甲郡清川村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2018-07-24T10:50:59Z</dcterms:created>
  <dcterms:modified xsi:type="dcterms:W3CDTF">2018-07-24T10:51:10Z</dcterms:modified>
</cp:coreProperties>
</file>